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7565" windowHeight="5175" activeTab="1"/>
  </bookViews>
  <sheets>
    <sheet name="Culv7 -NewAlg" sheetId="5" r:id="rId1"/>
    <sheet name="Culv9-Replace" sheetId="6" r:id="rId2"/>
  </sheets>
  <definedNames>
    <definedName name="_xlnm.Print_Area" localSheetId="1">'Culv9-Replace'!$A$1:$AO$9</definedName>
  </definedNames>
  <calcPr calcId="125725"/>
</workbook>
</file>

<file path=xl/calcChain.xml><?xml version="1.0" encoding="utf-8"?>
<calcChain xmlns="http://schemas.openxmlformats.org/spreadsheetml/2006/main">
  <c r="J47" i="6"/>
  <c r="T9"/>
  <c r="T6"/>
  <c r="T5"/>
  <c r="T4"/>
  <c r="T2"/>
  <c r="AR15"/>
  <c r="AK15"/>
  <c r="AR14"/>
  <c r="AK14"/>
  <c r="AE13"/>
  <c r="AN13" s="1"/>
  <c r="S13"/>
  <c r="AL13" s="1"/>
  <c r="N13"/>
  <c r="N12"/>
  <c r="AF9"/>
  <c r="AA9"/>
  <c r="R9"/>
  <c r="M9"/>
  <c r="R8"/>
  <c r="M8"/>
  <c r="R7"/>
  <c r="M7"/>
  <c r="AA2"/>
  <c r="AF2"/>
  <c r="M2"/>
  <c r="R2"/>
  <c r="C5"/>
  <c r="C4"/>
  <c r="C3"/>
  <c r="G69" i="5"/>
  <c r="AH50"/>
  <c r="AH51"/>
  <c r="H69" s="1"/>
  <c r="AH52"/>
  <c r="AH49"/>
  <c r="G67"/>
  <c r="G66"/>
  <c r="AH36"/>
  <c r="H67" s="1"/>
  <c r="AH37"/>
  <c r="AH35"/>
  <c r="AH29"/>
  <c r="H66" s="1"/>
  <c r="AH30"/>
  <c r="AH28"/>
  <c r="G65"/>
  <c r="G64"/>
  <c r="AH15"/>
  <c r="H64" s="1"/>
  <c r="AH14"/>
  <c r="G63"/>
  <c r="AH7"/>
  <c r="AH5"/>
  <c r="AH6"/>
  <c r="H63" s="1"/>
  <c r="AH4"/>
  <c r="V50"/>
  <c r="F69" s="1"/>
  <c r="C69"/>
  <c r="C68"/>
  <c r="C67"/>
  <c r="C66"/>
  <c r="C64"/>
  <c r="C63"/>
  <c r="C76" s="1"/>
  <c r="AO50"/>
  <c r="AO51"/>
  <c r="I69" s="1"/>
  <c r="AO52"/>
  <c r="AO49"/>
  <c r="AO37"/>
  <c r="AO36"/>
  <c r="I67" s="1"/>
  <c r="AO35"/>
  <c r="AO29"/>
  <c r="I66" s="1"/>
  <c r="AO30"/>
  <c r="AO28"/>
  <c r="AO22"/>
  <c r="I65" s="1"/>
  <c r="AO15"/>
  <c r="I64" s="1"/>
  <c r="AO14"/>
  <c r="AO5"/>
  <c r="AO6"/>
  <c r="I63" s="1"/>
  <c r="AO4"/>
  <c r="V51"/>
  <c r="V49"/>
  <c r="V44"/>
  <c r="F68" s="1"/>
  <c r="V43"/>
  <c r="V35"/>
  <c r="V37"/>
  <c r="V38"/>
  <c r="V39"/>
  <c r="V36"/>
  <c r="F67" s="1"/>
  <c r="V29"/>
  <c r="V30"/>
  <c r="V31"/>
  <c r="F66" s="1"/>
  <c r="V28"/>
  <c r="V15"/>
  <c r="F64" s="1"/>
  <c r="V16"/>
  <c r="V17"/>
  <c r="V18"/>
  <c r="V14"/>
  <c r="V5"/>
  <c r="V6"/>
  <c r="F63" s="1"/>
  <c r="E77" s="1"/>
  <c r="V7"/>
  <c r="V8"/>
  <c r="V9"/>
  <c r="V10"/>
  <c r="V4"/>
  <c r="L39"/>
  <c r="M39" s="1"/>
  <c r="M29"/>
  <c r="M30"/>
  <c r="M31"/>
  <c r="E66" s="1"/>
  <c r="M28"/>
  <c r="M4"/>
  <c r="M14"/>
  <c r="M5"/>
  <c r="M6"/>
  <c r="E63" s="1"/>
  <c r="L51"/>
  <c r="L48"/>
  <c r="L49"/>
  <c r="L50"/>
  <c r="M50" s="1"/>
  <c r="E69" s="1"/>
  <c r="L47"/>
  <c r="L45"/>
  <c r="M45" s="1"/>
  <c r="L44"/>
  <c r="L43"/>
  <c r="M43" s="1"/>
  <c r="L42"/>
  <c r="L41"/>
  <c r="L34"/>
  <c r="L35"/>
  <c r="M35" s="1"/>
  <c r="L33"/>
  <c r="L36"/>
  <c r="M36" s="1"/>
  <c r="E67" s="1"/>
  <c r="L21"/>
  <c r="L20"/>
  <c r="AB21"/>
  <c r="AK21" s="1"/>
  <c r="Q21"/>
  <c r="AI21" s="1"/>
  <c r="Q49"/>
  <c r="AI49" s="1"/>
  <c r="AB48"/>
  <c r="AK48" s="1"/>
  <c r="Q48"/>
  <c r="AI48" s="1"/>
  <c r="AB42"/>
  <c r="Q43"/>
  <c r="Q42"/>
  <c r="AB34"/>
  <c r="AK34" s="1"/>
  <c r="Q34"/>
  <c r="AI34" s="1"/>
  <c r="AB27"/>
  <c r="AK27" s="1"/>
  <c r="Q27"/>
  <c r="AI27" s="1"/>
  <c r="L17"/>
  <c r="M17" s="1"/>
  <c r="L16"/>
  <c r="M16" s="1"/>
  <c r="L15"/>
  <c r="M15" s="1"/>
  <c r="E64" s="1"/>
  <c r="L18"/>
  <c r="M18" s="1"/>
  <c r="AB14"/>
  <c r="AK14" s="1"/>
  <c r="Q14"/>
  <c r="AI14" s="1"/>
  <c r="L10"/>
  <c r="M10" s="1"/>
  <c r="L9"/>
  <c r="M9" s="1"/>
  <c r="L8"/>
  <c r="M8" s="1"/>
  <c r="P7"/>
  <c r="L7"/>
  <c r="M7" s="1"/>
  <c r="AB3"/>
  <c r="AK3" s="1"/>
  <c r="P10"/>
  <c r="P9"/>
  <c r="O9"/>
  <c r="N9"/>
  <c r="P8"/>
  <c r="P6"/>
  <c r="O6"/>
  <c r="N6"/>
  <c r="P5"/>
  <c r="O5"/>
  <c r="N5"/>
  <c r="O4"/>
  <c r="O7" s="1"/>
  <c r="N4"/>
  <c r="N8" s="1"/>
  <c r="Q3"/>
  <c r="AI3" s="1"/>
  <c r="C41"/>
  <c r="AH22"/>
  <c r="H65" s="1"/>
  <c r="E75" l="1"/>
  <c r="E76"/>
  <c r="Q9"/>
  <c r="Q5"/>
  <c r="AI5" s="1"/>
  <c r="M44"/>
  <c r="E68" s="1"/>
  <c r="D78" s="1"/>
  <c r="M49"/>
  <c r="M51"/>
  <c r="E78"/>
  <c r="Q6"/>
  <c r="AI6" s="1"/>
  <c r="N10"/>
  <c r="Q4"/>
  <c r="AI4" s="1"/>
  <c r="C75"/>
  <c r="C77"/>
  <c r="C78"/>
  <c r="O8"/>
  <c r="Q8" s="1"/>
  <c r="N7"/>
  <c r="Q7" s="1"/>
  <c r="O10"/>
  <c r="C79"/>
  <c r="D77" l="1"/>
  <c r="D76"/>
  <c r="Q10"/>
  <c r="D75"/>
</calcChain>
</file>

<file path=xl/sharedStrings.xml><?xml version="1.0" encoding="utf-8"?>
<sst xmlns="http://schemas.openxmlformats.org/spreadsheetml/2006/main" count="479" uniqueCount="263">
  <si>
    <t>Sl. No.</t>
  </si>
  <si>
    <t>Crossing Name</t>
  </si>
  <si>
    <t>DNR Permit (Yes - 1, No - 0)</t>
  </si>
  <si>
    <t>CR1200N</t>
  </si>
  <si>
    <t>Drainage Area (acres)</t>
  </si>
  <si>
    <t>Rpalcement (0) / New Allignment (1)</t>
  </si>
  <si>
    <t>SR-58W</t>
  </si>
  <si>
    <t>SR58-SER</t>
  </si>
  <si>
    <t>SR58-SWR</t>
  </si>
  <si>
    <t>CN-224400, Seg-11</t>
  </si>
  <si>
    <t>CN-231200, Seg-11</t>
  </si>
  <si>
    <t>CN-225300, Seg-11</t>
  </si>
  <si>
    <t>CN-222800, Seg-11</t>
  </si>
  <si>
    <t>Area in sq. mile</t>
  </si>
  <si>
    <t>US 421 Carol County, Des. # 0201034</t>
  </si>
  <si>
    <t>Reamrks if any</t>
  </si>
  <si>
    <t>US 24 Newton County, Des. # 0200068</t>
  </si>
  <si>
    <t>SR66 Spencer County Des# 0800794</t>
  </si>
  <si>
    <t>LSR 11, Seg - 4</t>
  </si>
  <si>
    <t>RAMP2-US50, Seg-7</t>
  </si>
  <si>
    <t>CN-49600-US50, Seg-7</t>
  </si>
  <si>
    <t>CN-51750-US50, Seg-7</t>
  </si>
  <si>
    <t>CN-51200-US50, Seg-7</t>
  </si>
  <si>
    <t>Structure Size Porposed 1</t>
  </si>
  <si>
    <t>Structure Size Porposed 2</t>
  </si>
  <si>
    <t>7' x 3' Precast Conct. Box</t>
  </si>
  <si>
    <t>Backwater 1 (feet)</t>
  </si>
  <si>
    <t>outlet velocity for 100 yr friquency 1 (ft/sec)</t>
  </si>
  <si>
    <t>Backwater 2 (feet)</t>
  </si>
  <si>
    <t>3' RCP</t>
  </si>
  <si>
    <t>RCP</t>
  </si>
  <si>
    <t>Reinforced Concrete Pipe</t>
  </si>
  <si>
    <t>CMP</t>
  </si>
  <si>
    <t>Corrugated Metal Pipe</t>
  </si>
  <si>
    <t>3.5' RCP</t>
  </si>
  <si>
    <t>Backwater 1 (feet)  Erroneously reported</t>
  </si>
  <si>
    <t>Backwater 2 (feet)  Erroneously reported</t>
  </si>
  <si>
    <t>8' x 4.17' corrugated metal arch</t>
  </si>
  <si>
    <t>0.13'</t>
  </si>
  <si>
    <t>CMA</t>
  </si>
  <si>
    <t>Corrugated Metal Arch</t>
  </si>
  <si>
    <t>5' x 3.17' elleptical RCP</t>
  </si>
  <si>
    <t>5.92' x 3.92' CMA</t>
  </si>
  <si>
    <t>9' x 5' PCB</t>
  </si>
  <si>
    <t>PCB</t>
  </si>
  <si>
    <t>Precast Concrete Box</t>
  </si>
  <si>
    <t>15' x 4.63' open bottom CMA</t>
  </si>
  <si>
    <t>18' x 8' CB</t>
  </si>
  <si>
    <t>9' x 4' CB</t>
  </si>
  <si>
    <t>12.87' x 8.31' CMA</t>
  </si>
  <si>
    <t>revision suggested</t>
  </si>
  <si>
    <t>4' x 3' CB</t>
  </si>
  <si>
    <t>7.02' x 5.09' CMA</t>
  </si>
  <si>
    <t>11.40' x 7.24' CMA</t>
  </si>
  <si>
    <t>9' x 4'CB</t>
  </si>
  <si>
    <t>7' x 4' CB</t>
  </si>
  <si>
    <t>given HY-8 file</t>
  </si>
  <si>
    <t>reduced structure size</t>
  </si>
  <si>
    <t>10.22' x 6.76' CMA</t>
  </si>
  <si>
    <t>6.33' x 4.76' CMA</t>
  </si>
  <si>
    <t>3.02' backwater, approved by INDOT</t>
  </si>
  <si>
    <t>replacement strcture</t>
  </si>
  <si>
    <t>14' x 8' CB</t>
  </si>
  <si>
    <t>created hy8 file</t>
  </si>
  <si>
    <t>10' x 3.46' Open Bottom Corrugated Metal Arch</t>
  </si>
  <si>
    <t>9' x 3.88' Open Bottom Corrugated Metal Arch</t>
  </si>
  <si>
    <t>7' x 3' Conct. Box</t>
  </si>
  <si>
    <t>6' x 3' Conct. Box</t>
  </si>
  <si>
    <t>1' backwater was practiced</t>
  </si>
  <si>
    <t>7' x 3'  precast box</t>
  </si>
  <si>
    <t>5' x 3' conc box</t>
  </si>
  <si>
    <t>7' x 3'  conc box</t>
  </si>
  <si>
    <t>7' x 3.67' corrugated metal arch</t>
  </si>
  <si>
    <t>4.75' x 3.17' Pipe Arch</t>
  </si>
  <si>
    <t>5.33' x 3.58' Pipe Arch</t>
  </si>
  <si>
    <t>4.41' x 2.83' elleptical RCP</t>
  </si>
  <si>
    <t>6' x 4' PCB</t>
  </si>
  <si>
    <t>Area (ft2)</t>
  </si>
  <si>
    <t>NA</t>
  </si>
  <si>
    <t>4.75' x 3.17' CMA</t>
  </si>
  <si>
    <t>Decrease in Area</t>
  </si>
  <si>
    <t>Sl. No</t>
  </si>
  <si>
    <t>Corssing Name</t>
  </si>
  <si>
    <t>Backwater1</t>
  </si>
  <si>
    <t>dec. Ar 1</t>
  </si>
  <si>
    <t>Outlte velo inc 1</t>
  </si>
  <si>
    <t>inc in velocity</t>
  </si>
  <si>
    <t>Backwater2</t>
  </si>
  <si>
    <t>dec. Ar 2</t>
  </si>
  <si>
    <t>Outlte velo inc 2</t>
  </si>
  <si>
    <t>are dec</t>
  </si>
  <si>
    <t>Average</t>
  </si>
  <si>
    <t>Minimum</t>
  </si>
  <si>
    <t>Maximum</t>
  </si>
  <si>
    <t>Standard Deviation</t>
  </si>
  <si>
    <t>Decrease in culvert area (%)</t>
  </si>
  <si>
    <t>Final Backwater</t>
  </si>
  <si>
    <t>Sample Size</t>
  </si>
  <si>
    <t>reduced structure size-2</t>
  </si>
  <si>
    <t>Allowable Head Water</t>
  </si>
  <si>
    <t>Design Head Water</t>
  </si>
  <si>
    <t>Inlet Elev</t>
  </si>
  <si>
    <t>trail water depth at design discharge</t>
  </si>
  <si>
    <t>allowable back water</t>
  </si>
  <si>
    <t>5' x 3' Conct. Box</t>
  </si>
  <si>
    <t>4' x 3' conc. Box</t>
  </si>
  <si>
    <t>reduced structure size-3</t>
  </si>
  <si>
    <t>reduced structure size -4</t>
  </si>
  <si>
    <t>Remarkes</t>
  </si>
  <si>
    <t>voilation of AHW and BW</t>
  </si>
  <si>
    <t>reduced structure size -5</t>
  </si>
  <si>
    <t>voilation of BW</t>
  </si>
  <si>
    <t>reduced structure size -6</t>
  </si>
  <si>
    <t>3' dia circular conc. Pipe</t>
  </si>
  <si>
    <t>4' dia circular conc. Pipe</t>
  </si>
  <si>
    <t>5' dia circular conc. Pipe</t>
  </si>
  <si>
    <t>inlet elev</t>
  </si>
  <si>
    <t>cover</t>
  </si>
  <si>
    <t xml:space="preserve">pavement thickness </t>
  </si>
  <si>
    <t>pipe/box thicness</t>
  </si>
  <si>
    <t>maximum allowable rise</t>
  </si>
  <si>
    <t>roadway crest elev</t>
  </si>
  <si>
    <t>d1</t>
  </si>
  <si>
    <t>d2</t>
  </si>
  <si>
    <t>reduced structure size-4</t>
  </si>
  <si>
    <t>3' x 3' conc. Box</t>
  </si>
  <si>
    <t>reduced structure size 2</t>
  </si>
  <si>
    <t>4' x 3' conc box</t>
  </si>
  <si>
    <t>reduced structure size 3</t>
  </si>
  <si>
    <t>3' x 3' conc box</t>
  </si>
  <si>
    <t>reduced structure size 4</t>
  </si>
  <si>
    <t>reduced structure size 5</t>
  </si>
  <si>
    <t>voilation of back water</t>
  </si>
  <si>
    <t>4.08' x 2.66' elleptical RCP</t>
  </si>
  <si>
    <t>3.50' x 2.25' elleptical RCP</t>
  </si>
  <si>
    <t>3' dia cicular conc. Pipe</t>
  </si>
  <si>
    <t>5' x 4' PCB</t>
  </si>
  <si>
    <t>4 ' x 4' PCB</t>
  </si>
  <si>
    <t>6' dia circular conc. Pipe</t>
  </si>
  <si>
    <t>voilation of cover requirements</t>
  </si>
  <si>
    <t>design discharge</t>
  </si>
  <si>
    <t>593 cfs</t>
  </si>
  <si>
    <t>12' x 6' CB</t>
  </si>
  <si>
    <t>11' x 6' CB</t>
  </si>
  <si>
    <t>6' x 4' CB</t>
  </si>
  <si>
    <t>5' x 4' CB</t>
  </si>
  <si>
    <t>outlet velocity for 100 yr frequency 2 (ft/sec)</t>
  </si>
  <si>
    <t>Structure Size Proposed 2</t>
  </si>
  <si>
    <t>AHW</t>
  </si>
  <si>
    <t>Design head water</t>
  </si>
  <si>
    <t>Maximum rise of cluvert</t>
  </si>
  <si>
    <t>8' x 2.92' Open Bottom Corrugated Metal Arch</t>
  </si>
  <si>
    <t>6' x 3.17' Open Bottom Corrugated Metal Arch</t>
  </si>
  <si>
    <t>6' x 2.29' Open Bottom Corrugated Metal Arch</t>
  </si>
  <si>
    <t>Remarks</t>
  </si>
  <si>
    <t>6' x 2.29' corrugated metal arch</t>
  </si>
  <si>
    <t>4.08' x 2.75' Pipe Arch</t>
  </si>
  <si>
    <t>4.08' x 2.75' CMA</t>
  </si>
  <si>
    <t>3.5' x 2.42' CMA</t>
  </si>
  <si>
    <t>12' x 5' open bottom CMA</t>
  </si>
  <si>
    <t>10' x 4.42' open bottom CMA</t>
  </si>
  <si>
    <t>9' x 3.88' open bottom CMA</t>
  </si>
  <si>
    <t>8.61' x 5.97' CMA</t>
  </si>
  <si>
    <t>7.93' x 5.6 ' CMA</t>
  </si>
  <si>
    <t>6.76' x 4.91' CMA</t>
  </si>
  <si>
    <t>6.08' x 4.58' CMA</t>
  </si>
  <si>
    <t>this is the lowest structure size in this shape</t>
  </si>
  <si>
    <t>Existing Structure size</t>
  </si>
  <si>
    <t>EHW</t>
  </si>
  <si>
    <t>1.25' CMP</t>
  </si>
  <si>
    <t>1.06'</t>
  </si>
  <si>
    <t>trail water depth at dsg. Dischrg</t>
  </si>
  <si>
    <t>Roadway Crest elev</t>
  </si>
  <si>
    <t>pavment thickness</t>
  </si>
  <si>
    <t>pipe thicness</t>
  </si>
  <si>
    <t>6' x 4' precast conc box</t>
  </si>
  <si>
    <t>proposed inlet elv (if different from the exiting elev)</t>
  </si>
  <si>
    <t>DHW 1</t>
  </si>
  <si>
    <t>BW1</t>
  </si>
  <si>
    <t>DHW 2</t>
  </si>
  <si>
    <t>BW2</t>
  </si>
  <si>
    <t>9' x 4.71' Arch Open Bottom Corrugated Steel</t>
  </si>
  <si>
    <t>Exiting Backwater</t>
  </si>
  <si>
    <t>4.25'</t>
  </si>
  <si>
    <t>12' x 5' conc box</t>
  </si>
  <si>
    <t>Remarks if any</t>
  </si>
  <si>
    <t>Special permission was given based on outlet velocity (&lt; 10 ft/sec) and raod serviceability than backwater critria</t>
  </si>
  <si>
    <t>road overtopping complain within lanst few years, may be undersized due to improvement in the catchment area</t>
  </si>
  <si>
    <t>9' x 4' reinforced conc box</t>
  </si>
  <si>
    <t>8.6 ft/sec</t>
  </si>
  <si>
    <t>10' dia structural steel plate pipe</t>
  </si>
  <si>
    <t>4.38'</t>
  </si>
  <si>
    <t>3.1'</t>
  </si>
  <si>
    <t>Eixsting outlet velocity</t>
  </si>
  <si>
    <t>11.52 ft/sec</t>
  </si>
  <si>
    <t>12' x 8' conc. Box</t>
  </si>
  <si>
    <t>10.53 ft/sec</t>
  </si>
  <si>
    <t>New structure is needed due to relocation of US50 on new alignment</t>
  </si>
  <si>
    <t>19' x 4' conc. Box</t>
  </si>
  <si>
    <t>5.423 ft/sec</t>
  </si>
  <si>
    <t>18' x 3' conc. Box</t>
  </si>
  <si>
    <t>21.5' x 7,75' corrugated steel arch</t>
  </si>
  <si>
    <t>Head water is contained fully within th INDOT right-of-way</t>
  </si>
  <si>
    <t>9.5 ft/sec</t>
  </si>
  <si>
    <t>oulet velocity 1 for Q100</t>
  </si>
  <si>
    <t>4.5' dia corrugated steel pipe</t>
  </si>
  <si>
    <t xml:space="preserve">not mentioned, see the remarks </t>
  </si>
  <si>
    <t>10.272 ft/sec</t>
  </si>
  <si>
    <t>5' dia corrugated steel pipe</t>
  </si>
  <si>
    <t>3' dia corrugated steel pipe</t>
  </si>
  <si>
    <t>9.5'</t>
  </si>
  <si>
    <t>12.11 ft/sec</t>
  </si>
  <si>
    <t>6.12 ft/sec</t>
  </si>
  <si>
    <t>Increse in outltet velocity %</t>
  </si>
  <si>
    <t>Watershed is located entirely within the interchnage infield area</t>
  </si>
  <si>
    <t>5.0 ft/sec</t>
  </si>
  <si>
    <t>5.57 ft/sec</t>
  </si>
  <si>
    <t>oulet velocity 2 for Q100</t>
  </si>
  <si>
    <t>5.75 ft/sec</t>
  </si>
  <si>
    <t>4.86 ft/sec</t>
  </si>
  <si>
    <t>4.87 ft/sec</t>
  </si>
  <si>
    <t>6.5' ft/sec</t>
  </si>
  <si>
    <t>10.4' ft/sec</t>
  </si>
  <si>
    <t>Summary of reduced size structure  shown in color as in the next cell</t>
  </si>
  <si>
    <t>reduced structure size-1</t>
  </si>
  <si>
    <t>reduced structure size - 1</t>
  </si>
  <si>
    <t>minimum structure Size for 0.14' back water</t>
  </si>
  <si>
    <t>mimimum strructure size for 1.0' back water</t>
  </si>
  <si>
    <t>average saving in the bid price per unit length (feet) of structure from data</t>
  </si>
  <si>
    <t>% saving from data</t>
  </si>
  <si>
    <t xml:space="preserve">% saving from model </t>
  </si>
  <si>
    <t>7' X 3' CB</t>
  </si>
  <si>
    <t>4' X 3' CB</t>
  </si>
  <si>
    <t>18' X 8' CB</t>
  </si>
  <si>
    <t>9' X 5' CB</t>
  </si>
  <si>
    <t>5' X 4' CB</t>
  </si>
  <si>
    <t>6' X 4' CB</t>
  </si>
  <si>
    <t>12' X 6' CB</t>
  </si>
  <si>
    <t>See remarks</t>
  </si>
  <si>
    <t>Area</t>
  </si>
  <si>
    <t>area (ft2)</t>
  </si>
  <si>
    <t>Existing Structure</t>
  </si>
  <si>
    <t>average increase in the bid price per unit length (feet) of structure from data</t>
  </si>
  <si>
    <t>% incease from data</t>
  </si>
  <si>
    <t>18' x 3' conc box</t>
  </si>
  <si>
    <t>19' X 4' CB</t>
  </si>
  <si>
    <t>9' X 4' CB</t>
  </si>
  <si>
    <t>12' x 8' CB</t>
  </si>
  <si>
    <t>9' X4' CB</t>
  </si>
  <si>
    <t>increase in the bid price per unit length (feet) of structure from model</t>
  </si>
  <si>
    <t>increase from data is caluated from 10*8 size sturcture because no 19*4 structure was available in the data</t>
  </si>
  <si>
    <t>no data correcspond g to pipe steructure is avaible. Hence for existing structure bid price is calculted from corrsponding area 4 sided structure using the model</t>
  </si>
  <si>
    <t>% incease from model</t>
  </si>
  <si>
    <t>Existing bcakwater</t>
  </si>
  <si>
    <t>Proposed Replacement Structure size</t>
  </si>
  <si>
    <t>proposed backwater</t>
  </si>
  <si>
    <t>0.79'</t>
  </si>
  <si>
    <t>0.68'</t>
  </si>
  <si>
    <t>1.01'</t>
  </si>
  <si>
    <t>1.0'</t>
  </si>
  <si>
    <t>0.87'</t>
  </si>
  <si>
    <t>Note 1</t>
  </si>
  <si>
    <t>Note 2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</si>
</sst>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4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0" fillId="0" borderId="1" xfId="0" applyFill="1" applyBorder="1"/>
    <xf numFmtId="0" fontId="0" fillId="6" borderId="0" xfId="0" applyFill="1"/>
    <xf numFmtId="0" fontId="0" fillId="6" borderId="1" xfId="0" applyFill="1" applyBorder="1" applyAlignment="1">
      <alignment horizontal="right"/>
    </xf>
    <xf numFmtId="0" fontId="1" fillId="7" borderId="1" xfId="0" applyFont="1" applyFill="1" applyBorder="1"/>
    <xf numFmtId="0" fontId="0" fillId="7" borderId="1" xfId="0" applyFill="1" applyBorder="1"/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/>
    <xf numFmtId="1" fontId="0" fillId="0" borderId="1" xfId="0" applyNumberFormat="1" applyBorder="1"/>
    <xf numFmtId="1" fontId="0" fillId="6" borderId="1" xfId="0" applyNumberFormat="1" applyFill="1" applyBorder="1" applyAlignment="1">
      <alignment wrapText="1"/>
    </xf>
    <xf numFmtId="1" fontId="0" fillId="6" borderId="1" xfId="0" applyNumberFormat="1" applyFill="1" applyBorder="1"/>
    <xf numFmtId="1" fontId="1" fillId="7" borderId="1" xfId="0" applyNumberFormat="1" applyFont="1" applyFill="1" applyBorder="1"/>
    <xf numFmtId="1" fontId="1" fillId="6" borderId="1" xfId="0" applyNumberFormat="1" applyFont="1" applyFill="1" applyBorder="1"/>
    <xf numFmtId="1" fontId="0" fillId="0" borderId="1" xfId="0" applyNumberFormat="1" applyFill="1" applyBorder="1" applyAlignment="1">
      <alignment wrapText="1"/>
    </xf>
    <xf numFmtId="1" fontId="0" fillId="0" borderId="1" xfId="0" applyNumberForma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1" fontId="3" fillId="0" borderId="0" xfId="0" applyNumberFormat="1" applyFont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1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0" fillId="0" borderId="1" xfId="0" applyNumberFormat="1" applyBorder="1" applyAlignment="1">
      <alignment wrapText="1"/>
    </xf>
    <xf numFmtId="2" fontId="0" fillId="6" borderId="1" xfId="0" applyNumberFormat="1" applyFill="1" applyBorder="1"/>
    <xf numFmtId="2" fontId="0" fillId="0" borderId="1" xfId="0" applyNumberFormat="1" applyBorder="1"/>
    <xf numFmtId="0" fontId="0" fillId="0" borderId="0" xfId="0" applyBorder="1"/>
    <xf numFmtId="0" fontId="0" fillId="3" borderId="6" xfId="0" applyFill="1" applyBorder="1"/>
    <xf numFmtId="0" fontId="1" fillId="7" borderId="1" xfId="0" applyFont="1" applyFill="1" applyBorder="1" applyAlignment="1">
      <alignment wrapText="1"/>
    </xf>
    <xf numFmtId="2" fontId="1" fillId="7" borderId="1" xfId="0" applyNumberFormat="1" applyFont="1" applyFill="1" applyBorder="1"/>
    <xf numFmtId="2" fontId="1" fillId="7" borderId="1" xfId="0" applyNumberFormat="1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1" fontId="0" fillId="7" borderId="1" xfId="0" applyNumberFormat="1" applyFill="1" applyBorder="1"/>
    <xf numFmtId="2" fontId="0" fillId="7" borderId="1" xfId="0" applyNumberFormat="1" applyFill="1" applyBorder="1"/>
    <xf numFmtId="2" fontId="0" fillId="7" borderId="1" xfId="0" applyNumberFormat="1" applyFill="1" applyBorder="1" applyAlignment="1">
      <alignment wrapText="1"/>
    </xf>
    <xf numFmtId="0" fontId="0" fillId="8" borderId="1" xfId="0" applyFill="1" applyBorder="1" applyAlignment="1">
      <alignment wrapText="1"/>
    </xf>
    <xf numFmtId="1" fontId="0" fillId="8" borderId="1" xfId="0" applyNumberFormat="1" applyFill="1" applyBorder="1"/>
    <xf numFmtId="2" fontId="0" fillId="8" borderId="1" xfId="0" applyNumberFormat="1" applyFill="1" applyBorder="1"/>
    <xf numFmtId="2" fontId="0" fillId="8" borderId="1" xfId="0" applyNumberFormat="1" applyFill="1" applyBorder="1" applyAlignment="1">
      <alignment wrapText="1"/>
    </xf>
    <xf numFmtId="0" fontId="0" fillId="8" borderId="1" xfId="0" applyFill="1" applyBorder="1"/>
    <xf numFmtId="0" fontId="0" fillId="0" borderId="1" xfId="0" applyFill="1" applyBorder="1" applyAlignment="1">
      <alignment horizontal="right"/>
    </xf>
    <xf numFmtId="0" fontId="0" fillId="0" borderId="0" xfId="0" applyFill="1"/>
    <xf numFmtId="0" fontId="0" fillId="7" borderId="1" xfId="0" applyFill="1" applyBorder="1" applyAlignment="1">
      <alignment horizontal="right"/>
    </xf>
    <xf numFmtId="1" fontId="0" fillId="0" borderId="1" xfId="0" applyNumberFormat="1" applyFill="1" applyBorder="1"/>
    <xf numFmtId="2" fontId="0" fillId="0" borderId="1" xfId="0" applyNumberFormat="1" applyFill="1" applyBorder="1"/>
    <xf numFmtId="2" fontId="0" fillId="0" borderId="1" xfId="0" applyNumberFormat="1" applyFill="1" applyBorder="1" applyAlignment="1">
      <alignment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5" borderId="1" xfId="0" applyNumberFormat="1" applyFill="1" applyBorder="1" applyAlignment="1">
      <alignment wrapText="1"/>
    </xf>
    <xf numFmtId="2" fontId="0" fillId="4" borderId="1" xfId="0" applyNumberFormat="1" applyFill="1" applyBorder="1" applyAlignment="1">
      <alignment wrapText="1"/>
    </xf>
    <xf numFmtId="2" fontId="0" fillId="6" borderId="1" xfId="0" applyNumberFormat="1" applyFill="1" applyBorder="1" applyAlignment="1">
      <alignment wrapText="1"/>
    </xf>
    <xf numFmtId="2" fontId="0" fillId="4" borderId="1" xfId="0" applyNumberFormat="1" applyFill="1" applyBorder="1"/>
    <xf numFmtId="164" fontId="0" fillId="8" borderId="1" xfId="0" applyNumberFormat="1" applyFill="1" applyBorder="1" applyAlignment="1">
      <alignment wrapText="1"/>
    </xf>
    <xf numFmtId="164" fontId="0" fillId="7" borderId="1" xfId="0" applyNumberFormat="1" applyFill="1" applyBorder="1" applyAlignment="1">
      <alignment wrapText="1"/>
    </xf>
    <xf numFmtId="164" fontId="1" fillId="7" borderId="1" xfId="0" applyNumberFormat="1" applyFont="1" applyFill="1" applyBorder="1" applyAlignment="1">
      <alignment wrapText="1"/>
    </xf>
    <xf numFmtId="164" fontId="0" fillId="6" borderId="1" xfId="0" applyNumberFormat="1" applyFill="1" applyBorder="1" applyAlignment="1">
      <alignment wrapText="1"/>
    </xf>
    <xf numFmtId="164" fontId="0" fillId="0" borderId="1" xfId="0" applyNumberFormat="1" applyBorder="1"/>
    <xf numFmtId="164" fontId="0" fillId="7" borderId="1" xfId="0" applyNumberFormat="1" applyFill="1" applyBorder="1"/>
    <xf numFmtId="164" fontId="0" fillId="6" borderId="1" xfId="0" applyNumberFormat="1" applyFill="1" applyBorder="1"/>
    <xf numFmtId="164" fontId="1" fillId="8" borderId="1" xfId="0" applyNumberFormat="1" applyFont="1" applyFill="1" applyBorder="1" applyAlignment="1">
      <alignment wrapText="1"/>
    </xf>
    <xf numFmtId="164" fontId="1" fillId="7" borderId="1" xfId="0" applyNumberFormat="1" applyFont="1" applyFill="1" applyBorder="1"/>
    <xf numFmtId="164" fontId="1" fillId="6" borderId="1" xfId="0" applyNumberFormat="1" applyFont="1" applyFill="1" applyBorder="1"/>
    <xf numFmtId="164" fontId="0" fillId="0" borderId="1" xfId="0" applyNumberFormat="1" applyFill="1" applyBorder="1"/>
    <xf numFmtId="164" fontId="0" fillId="0" borderId="1" xfId="0" applyNumberFormat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0" fontId="0" fillId="9" borderId="1" xfId="0" applyFill="1" applyBorder="1" applyAlignment="1">
      <alignment wrapText="1"/>
    </xf>
    <xf numFmtId="164" fontId="0" fillId="9" borderId="1" xfId="0" applyNumberFormat="1" applyFill="1" applyBorder="1" applyAlignment="1">
      <alignment wrapText="1"/>
    </xf>
    <xf numFmtId="1" fontId="0" fillId="9" borderId="1" xfId="0" applyNumberFormat="1" applyFill="1" applyBorder="1"/>
    <xf numFmtId="2" fontId="0" fillId="9" borderId="1" xfId="0" applyNumberFormat="1" applyFill="1" applyBorder="1"/>
    <xf numFmtId="2" fontId="0" fillId="9" borderId="1" xfId="0" applyNumberFormat="1" applyFill="1" applyBorder="1" applyAlignment="1">
      <alignment wrapText="1"/>
    </xf>
    <xf numFmtId="0" fontId="0" fillId="9" borderId="1" xfId="0" applyFill="1" applyBorder="1"/>
    <xf numFmtId="164" fontId="0" fillId="9" borderId="1" xfId="0" applyNumberFormat="1" applyFill="1" applyBorder="1"/>
    <xf numFmtId="164" fontId="0" fillId="0" borderId="2" xfId="0" applyNumberFormat="1" applyFill="1" applyBorder="1"/>
    <xf numFmtId="0" fontId="0" fillId="0" borderId="2" xfId="0" applyFill="1" applyBorder="1"/>
    <xf numFmtId="2" fontId="3" fillId="0" borderId="0" xfId="0" applyNumberFormat="1" applyFont="1" applyBorder="1" applyAlignment="1">
      <alignment horizontal="left"/>
    </xf>
    <xf numFmtId="0" fontId="2" fillId="0" borderId="4" xfId="0" applyFont="1" applyBorder="1" applyAlignment="1"/>
    <xf numFmtId="0" fontId="0" fillId="0" borderId="2" xfId="0" applyFill="1" applyBorder="1" applyAlignment="1"/>
    <xf numFmtId="0" fontId="0" fillId="0" borderId="0" xfId="0" applyFill="1" applyBorder="1"/>
    <xf numFmtId="0" fontId="1" fillId="9" borderId="0" xfId="0" applyFont="1" applyFill="1"/>
    <xf numFmtId="0" fontId="0" fillId="6" borderId="3" xfId="0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6" fontId="0" fillId="8" borderId="1" xfId="0" applyNumberFormat="1" applyFill="1" applyBorder="1" applyAlignment="1">
      <alignment horizontal="left"/>
    </xf>
    <xf numFmtId="9" fontId="0" fillId="8" borderId="1" xfId="0" applyNumberForma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10" borderId="1" xfId="0" applyFont="1" applyFill="1" applyBorder="1" applyAlignment="1">
      <alignment wrapText="1"/>
    </xf>
    <xf numFmtId="0" fontId="4" fillId="11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6" borderId="2" xfId="0" applyFill="1" applyBorder="1"/>
    <xf numFmtId="0" fontId="0" fillId="6" borderId="3" xfId="0" applyFill="1" applyBorder="1" applyAlignment="1"/>
    <xf numFmtId="0" fontId="0" fillId="12" borderId="3" xfId="0" applyFill="1" applyBorder="1" applyAlignment="1">
      <alignment wrapText="1"/>
    </xf>
    <xf numFmtId="0" fontId="0" fillId="12" borderId="1" xfId="0" applyFill="1" applyBorder="1" applyAlignment="1">
      <alignment wrapText="1"/>
    </xf>
    <xf numFmtId="0" fontId="0" fillId="12" borderId="1" xfId="0" applyFill="1" applyBorder="1"/>
    <xf numFmtId="0" fontId="0" fillId="12" borderId="2" xfId="0" applyFill="1" applyBorder="1" applyAlignment="1"/>
    <xf numFmtId="0" fontId="0" fillId="12" borderId="3" xfId="0" applyFill="1" applyBorder="1" applyAlignment="1"/>
    <xf numFmtId="0" fontId="0" fillId="12" borderId="0" xfId="0" applyFill="1"/>
    <xf numFmtId="0" fontId="1" fillId="12" borderId="1" xfId="0" applyFont="1" applyFill="1" applyBorder="1" applyAlignment="1">
      <alignment wrapText="1"/>
    </xf>
    <xf numFmtId="0" fontId="1" fillId="12" borderId="1" xfId="0" applyFont="1" applyFill="1" applyBorder="1"/>
    <xf numFmtId="0" fontId="1" fillId="12" borderId="3" xfId="0" applyFont="1" applyFill="1" applyBorder="1" applyAlignment="1">
      <alignment horizontal="center"/>
    </xf>
    <xf numFmtId="0" fontId="1" fillId="12" borderId="3" xfId="0" applyFont="1" applyFill="1" applyBorder="1" applyAlignment="1"/>
    <xf numFmtId="0" fontId="1" fillId="12" borderId="3" xfId="0" applyFont="1" applyFill="1" applyBorder="1" applyAlignment="1">
      <alignment horizontal="center" wrapText="1"/>
    </xf>
    <xf numFmtId="2" fontId="1" fillId="12" borderId="1" xfId="0" applyNumberFormat="1" applyFont="1" applyFill="1" applyBorder="1"/>
    <xf numFmtId="0" fontId="1" fillId="12" borderId="2" xfId="0" applyFont="1" applyFill="1" applyBorder="1"/>
    <xf numFmtId="0" fontId="1" fillId="12" borderId="0" xfId="0" applyFont="1" applyFill="1"/>
    <xf numFmtId="0" fontId="0" fillId="0" borderId="1" xfId="0" applyFill="1" applyBorder="1" applyAlignment="1">
      <alignment horizontal="left"/>
    </xf>
    <xf numFmtId="6" fontId="0" fillId="0" borderId="1" xfId="0" applyNumberFormat="1" applyFill="1" applyBorder="1" applyAlignment="1">
      <alignment horizontal="left"/>
    </xf>
    <xf numFmtId="9" fontId="0" fillId="0" borderId="1" xfId="0" applyNumberForma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/>
    <xf numFmtId="0" fontId="1" fillId="0" borderId="3" xfId="0" applyFont="1" applyFill="1" applyBorder="1" applyAlignment="1">
      <alignment wrapText="1"/>
    </xf>
    <xf numFmtId="10" fontId="0" fillId="0" borderId="1" xfId="0" applyNumberFormat="1" applyBorder="1"/>
    <xf numFmtId="9" fontId="0" fillId="0" borderId="1" xfId="0" applyNumberFormat="1" applyBorder="1"/>
    <xf numFmtId="0" fontId="0" fillId="13" borderId="5" xfId="0" applyFill="1" applyBorder="1" applyAlignment="1">
      <alignment horizontal="center" wrapText="1"/>
    </xf>
    <xf numFmtId="0" fontId="0" fillId="13" borderId="3" xfId="0" applyFill="1" applyBorder="1" applyAlignment="1">
      <alignment horizontal="center" wrapText="1"/>
    </xf>
    <xf numFmtId="0" fontId="0" fillId="13" borderId="1" xfId="0" applyFill="1" applyBorder="1"/>
    <xf numFmtId="0" fontId="0" fillId="13" borderId="2" xfId="0" applyFill="1" applyBorder="1" applyAlignment="1">
      <alignment horizontal="left" wrapText="1"/>
    </xf>
    <xf numFmtId="0" fontId="0" fillId="12" borderId="2" xfId="0" applyFill="1" applyBorder="1"/>
    <xf numFmtId="0" fontId="0" fillId="0" borderId="2" xfId="0" applyFill="1" applyBorder="1" applyAlignment="1">
      <alignment wrapText="1"/>
    </xf>
    <xf numFmtId="10" fontId="0" fillId="0" borderId="0" xfId="0" applyNumberFormat="1"/>
    <xf numFmtId="0" fontId="0" fillId="8" borderId="1" xfId="0" applyFill="1" applyBorder="1" applyAlignment="1">
      <alignment horizontal="left"/>
    </xf>
    <xf numFmtId="6" fontId="0" fillId="8" borderId="1" xfId="0" applyNumberFormat="1" applyFill="1" applyBorder="1" applyAlignment="1">
      <alignment horizontal="left"/>
    </xf>
    <xf numFmtId="9" fontId="0" fillId="8" borderId="1" xfId="0" applyNumberForma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3" borderId="7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6" borderId="2" xfId="0" applyFill="1" applyBorder="1" applyAlignment="1">
      <alignment horizontal="left" wrapText="1"/>
    </xf>
    <xf numFmtId="0" fontId="0" fillId="6" borderId="5" xfId="0" applyFill="1" applyBorder="1" applyAlignment="1">
      <alignment horizontal="left" wrapText="1"/>
    </xf>
    <xf numFmtId="0" fontId="0" fillId="6" borderId="3" xfId="0" applyFill="1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1" fillId="12" borderId="2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0" fillId="6" borderId="2" xfId="0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0" fontId="1" fillId="12" borderId="2" xfId="0" applyFont="1" applyFill="1" applyBorder="1" applyAlignment="1">
      <alignment horizontal="left" wrapText="1"/>
    </xf>
    <xf numFmtId="0" fontId="1" fillId="12" borderId="5" xfId="0" applyFont="1" applyFill="1" applyBorder="1" applyAlignment="1">
      <alignment horizontal="left" wrapText="1"/>
    </xf>
    <xf numFmtId="0" fontId="1" fillId="12" borderId="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714375</xdr:colOff>
      <xdr:row>56</xdr:row>
      <xdr:rowOff>59532</xdr:rowOff>
    </xdr:from>
    <xdr:to>
      <xdr:col>20</xdr:col>
      <xdr:colOff>833437</xdr:colOff>
      <xdr:row>59</xdr:row>
      <xdr:rowOff>10584</xdr:rowOff>
    </xdr:to>
    <xdr:sp macro="" textlink="">
      <xdr:nvSpPr>
        <xdr:cNvPr id="2" name="TextBox 1"/>
        <xdr:cNvSpPr txBox="1"/>
      </xdr:nvSpPr>
      <xdr:spPr>
        <a:xfrm>
          <a:off x="12758208" y="12685449"/>
          <a:ext cx="7527396" cy="5225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Allowable Head Water : Inlet Elevation  + Trail Water Depth at desighn</a:t>
          </a:r>
          <a:r>
            <a:rPr lang="en-US" sz="1100" baseline="0"/>
            <a:t> discharge from downstream channel rating curve + Alloawable Back Water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7"/>
  <sheetViews>
    <sheetView zoomScale="90" zoomScaleNormal="90" workbookViewId="0">
      <selection activeCell="I85" sqref="I85"/>
    </sheetView>
  </sheetViews>
  <sheetFormatPr defaultRowHeight="15"/>
  <cols>
    <col min="1" max="1" width="6.42578125" customWidth="1"/>
    <col min="2" max="2" width="21.42578125" customWidth="1"/>
    <col min="3" max="3" width="17.42578125" customWidth="1"/>
    <col min="4" max="4" width="17" customWidth="1"/>
    <col min="5" max="5" width="12" customWidth="1"/>
    <col min="6" max="6" width="13.5703125" customWidth="1"/>
    <col min="7" max="7" width="13.85546875" customWidth="1"/>
    <col min="8" max="8" width="19.5703125" customWidth="1"/>
    <col min="9" max="9" width="26.42578125" customWidth="1"/>
    <col min="10" max="10" width="9.5703125" customWidth="1"/>
    <col min="11" max="11" width="8.28515625" customWidth="1"/>
    <col min="12" max="12" width="12.7109375" customWidth="1"/>
    <col min="13" max="16" width="11.28515625" customWidth="1"/>
    <col min="17" max="18" width="14.7109375" customWidth="1"/>
    <col min="19" max="19" width="14.85546875" customWidth="1"/>
    <col min="20" max="20" width="8.85546875" style="57" customWidth="1"/>
    <col min="21" max="21" width="12.7109375" customWidth="1"/>
    <col min="22" max="28" width="11.85546875" customWidth="1"/>
    <col min="29" max="29" width="31.7109375" customWidth="1"/>
    <col min="30" max="30" width="7" customWidth="1"/>
    <col min="31" max="31" width="31.7109375" customWidth="1"/>
    <col min="32" max="32" width="43.85546875" customWidth="1"/>
    <col min="33" max="33" width="12.5703125" customWidth="1"/>
    <col min="34" max="34" width="11.7109375" customWidth="1"/>
    <col min="35" max="35" width="12.7109375" customWidth="1"/>
    <col min="36" max="36" width="14.5703125" customWidth="1"/>
    <col min="37" max="37" width="11.7109375" customWidth="1"/>
    <col min="38" max="38" width="15" customWidth="1"/>
    <col min="39" max="39" width="14.7109375" customWidth="1"/>
    <col min="40" max="40" width="11.85546875" customWidth="1"/>
    <col min="41" max="41" width="19.5703125" customWidth="1"/>
    <col min="42" max="42" width="40.85546875" bestFit="1" customWidth="1"/>
  </cols>
  <sheetData>
    <row r="1" spans="1:42" ht="90">
      <c r="A1" s="2" t="s">
        <v>0</v>
      </c>
      <c r="B1" s="2" t="s">
        <v>1</v>
      </c>
      <c r="C1" s="2" t="s">
        <v>4</v>
      </c>
      <c r="D1" s="2" t="s">
        <v>140</v>
      </c>
      <c r="E1" s="2" t="s">
        <v>2</v>
      </c>
      <c r="F1" s="2" t="s">
        <v>5</v>
      </c>
      <c r="G1" s="2" t="s">
        <v>15</v>
      </c>
      <c r="H1" s="2" t="s">
        <v>13</v>
      </c>
      <c r="I1" s="5" t="s">
        <v>23</v>
      </c>
      <c r="J1" s="5" t="s">
        <v>122</v>
      </c>
      <c r="K1" s="5" t="s">
        <v>123</v>
      </c>
      <c r="L1" s="5" t="s">
        <v>77</v>
      </c>
      <c r="M1" s="5" t="s">
        <v>80</v>
      </c>
      <c r="N1" s="5" t="s">
        <v>101</v>
      </c>
      <c r="O1" s="5" t="s">
        <v>102</v>
      </c>
      <c r="P1" s="5" t="s">
        <v>103</v>
      </c>
      <c r="Q1" s="5" t="s">
        <v>99</v>
      </c>
      <c r="R1" s="5" t="s">
        <v>100</v>
      </c>
      <c r="S1" s="5" t="s">
        <v>26</v>
      </c>
      <c r="T1" s="5" t="s">
        <v>35</v>
      </c>
      <c r="U1" s="5" t="s">
        <v>27</v>
      </c>
      <c r="V1" s="5" t="s">
        <v>86</v>
      </c>
      <c r="W1" s="5" t="s">
        <v>121</v>
      </c>
      <c r="X1" s="5" t="s">
        <v>116</v>
      </c>
      <c r="Y1" s="5" t="s">
        <v>117</v>
      </c>
      <c r="Z1" s="5" t="s">
        <v>118</v>
      </c>
      <c r="AA1" s="5" t="s">
        <v>119</v>
      </c>
      <c r="AB1" s="5" t="s">
        <v>120</v>
      </c>
      <c r="AC1" s="5" t="s">
        <v>108</v>
      </c>
      <c r="AD1" s="2" t="s">
        <v>0</v>
      </c>
      <c r="AE1" s="2" t="s">
        <v>1</v>
      </c>
      <c r="AF1" s="5" t="s">
        <v>147</v>
      </c>
      <c r="AG1" s="5" t="s">
        <v>77</v>
      </c>
      <c r="AH1" s="24" t="s">
        <v>90</v>
      </c>
      <c r="AI1" s="24" t="s">
        <v>148</v>
      </c>
      <c r="AJ1" s="24" t="s">
        <v>149</v>
      </c>
      <c r="AK1" s="24" t="s">
        <v>150</v>
      </c>
      <c r="AL1" s="5" t="s">
        <v>28</v>
      </c>
      <c r="AM1" s="8" t="s">
        <v>36</v>
      </c>
      <c r="AN1" s="5" t="s">
        <v>146</v>
      </c>
      <c r="AO1" s="5" t="s">
        <v>86</v>
      </c>
      <c r="AP1" s="5" t="s">
        <v>154</v>
      </c>
    </row>
    <row r="2" spans="1:42">
      <c r="A2" s="4">
        <v>1</v>
      </c>
      <c r="B2" s="3" t="s">
        <v>6</v>
      </c>
      <c r="C2" s="3">
        <v>25.34</v>
      </c>
      <c r="D2" s="3"/>
      <c r="E2" s="3">
        <v>0</v>
      </c>
      <c r="F2" s="3">
        <v>1</v>
      </c>
      <c r="G2" s="55"/>
      <c r="H2" s="55"/>
      <c r="I2" s="51" t="s">
        <v>25</v>
      </c>
      <c r="J2" s="51">
        <v>7</v>
      </c>
      <c r="K2" s="51">
        <v>3</v>
      </c>
      <c r="L2" s="68">
        <v>21</v>
      </c>
      <c r="M2" s="51"/>
      <c r="N2" s="51"/>
      <c r="O2" s="51"/>
      <c r="P2" s="51"/>
      <c r="Q2" s="51"/>
      <c r="R2" s="51"/>
      <c r="S2" s="51">
        <v>0.28699999999999998</v>
      </c>
      <c r="T2" s="5">
        <v>0.11</v>
      </c>
      <c r="U2" s="79">
        <v>3.6760000000000002</v>
      </c>
      <c r="V2" s="79"/>
      <c r="W2" s="2"/>
      <c r="X2" s="2"/>
      <c r="Y2" s="2"/>
      <c r="Z2" s="2"/>
      <c r="AA2" s="2"/>
      <c r="AB2" s="2"/>
      <c r="AC2" s="2"/>
      <c r="AD2" s="4">
        <v>1</v>
      </c>
      <c r="AE2" s="3" t="s">
        <v>6</v>
      </c>
      <c r="AF2" s="2" t="s">
        <v>64</v>
      </c>
      <c r="AG2" s="2">
        <v>25</v>
      </c>
      <c r="AH2" s="25"/>
      <c r="AI2" s="39"/>
      <c r="AJ2" s="39"/>
      <c r="AK2" s="39"/>
      <c r="AL2" s="64">
        <v>0.52600000000000002</v>
      </c>
      <c r="AM2" s="65">
        <v>0.14000000000000001</v>
      </c>
      <c r="AN2" s="41">
        <v>3.5209999999999999</v>
      </c>
      <c r="AO2" s="41"/>
      <c r="AP2" s="1"/>
    </row>
    <row r="3" spans="1:42">
      <c r="A3" s="4"/>
      <c r="B3" s="3"/>
      <c r="C3" s="3"/>
      <c r="D3" s="3"/>
      <c r="E3" s="3"/>
      <c r="F3" s="3"/>
      <c r="G3" s="144" t="s">
        <v>63</v>
      </c>
      <c r="H3" s="145"/>
      <c r="I3" s="51" t="s">
        <v>66</v>
      </c>
      <c r="J3" s="51">
        <v>7</v>
      </c>
      <c r="K3" s="51">
        <v>3</v>
      </c>
      <c r="L3" s="68">
        <v>21</v>
      </c>
      <c r="M3" s="51"/>
      <c r="N3" s="54">
        <v>476.5</v>
      </c>
      <c r="O3" s="54">
        <v>1.8029999999999999</v>
      </c>
      <c r="P3" s="54">
        <v>0.13</v>
      </c>
      <c r="Q3" s="54">
        <f t="shared" ref="Q3:Q10" si="0">N3+O3+P3</f>
        <v>478.43299999999999</v>
      </c>
      <c r="R3" s="54">
        <v>478.45</v>
      </c>
      <c r="S3" s="51">
        <v>0.41</v>
      </c>
      <c r="T3" s="5"/>
      <c r="U3" s="79">
        <v>2.36</v>
      </c>
      <c r="V3" s="79"/>
      <c r="W3" s="2">
        <v>484.21</v>
      </c>
      <c r="X3" s="2">
        <v>476.24</v>
      </c>
      <c r="Y3" s="2">
        <v>1</v>
      </c>
      <c r="Z3" s="2">
        <v>1</v>
      </c>
      <c r="AA3" s="2">
        <v>0.6</v>
      </c>
      <c r="AB3" s="2">
        <f>W3-X3-Y3-Z3-AA3</f>
        <v>5.3699999999999708</v>
      </c>
      <c r="AC3" s="2"/>
      <c r="AD3" s="4"/>
      <c r="AE3" s="3"/>
      <c r="AF3" s="2" t="s">
        <v>64</v>
      </c>
      <c r="AG3" s="2">
        <v>25</v>
      </c>
      <c r="AH3" s="25"/>
      <c r="AI3" s="39">
        <f>Q3</f>
        <v>478.43299999999999</v>
      </c>
      <c r="AJ3" s="39"/>
      <c r="AK3" s="39">
        <f>AB3</f>
        <v>5.3699999999999708</v>
      </c>
      <c r="AL3" s="64">
        <v>0.57999999999999996</v>
      </c>
      <c r="AM3" s="64"/>
      <c r="AN3" s="64">
        <v>2.04</v>
      </c>
      <c r="AO3" s="41"/>
      <c r="AP3" s="1"/>
    </row>
    <row r="4" spans="1:42">
      <c r="A4" s="4"/>
      <c r="B4" s="3"/>
      <c r="C4" s="3"/>
      <c r="D4" s="3"/>
      <c r="E4" s="3"/>
      <c r="F4" s="3"/>
      <c r="G4" s="144" t="s">
        <v>224</v>
      </c>
      <c r="H4" s="145"/>
      <c r="I4" s="51" t="s">
        <v>67</v>
      </c>
      <c r="J4" s="51">
        <v>6</v>
      </c>
      <c r="K4" s="51">
        <v>3</v>
      </c>
      <c r="L4" s="68">
        <v>18</v>
      </c>
      <c r="M4" s="52">
        <f>(L4-$L$3)*100/$L$3</f>
        <v>-14.285714285714286</v>
      </c>
      <c r="N4" s="53">
        <f>N3</f>
        <v>476.5</v>
      </c>
      <c r="O4" s="53">
        <f>O3</f>
        <v>1.8029999999999999</v>
      </c>
      <c r="P4" s="53">
        <v>1</v>
      </c>
      <c r="Q4" s="54">
        <f t="shared" si="0"/>
        <v>479.303</v>
      </c>
      <c r="R4" s="53">
        <v>478.52</v>
      </c>
      <c r="S4" s="51">
        <v>0.48</v>
      </c>
      <c r="T4" s="5"/>
      <c r="U4" s="79">
        <v>2.76</v>
      </c>
      <c r="V4" s="79">
        <f t="shared" ref="V4:V10" si="1">(U4-$U$3)*100/$U$3</f>
        <v>16.949152542372879</v>
      </c>
      <c r="W4" s="2"/>
      <c r="X4" s="2"/>
      <c r="Y4" s="2"/>
      <c r="Z4" s="2"/>
      <c r="AA4" s="2"/>
      <c r="AB4" s="2"/>
      <c r="AC4" s="2"/>
      <c r="AD4" s="4"/>
      <c r="AE4" s="3"/>
      <c r="AF4" s="2" t="s">
        <v>65</v>
      </c>
      <c r="AG4" s="2">
        <v>26.5</v>
      </c>
      <c r="AH4" s="19">
        <f>(AG4-$AG$3)*100/$AG$3</f>
        <v>6</v>
      </c>
      <c r="AI4" s="39">
        <f>Q4</f>
        <v>479.303</v>
      </c>
      <c r="AJ4" s="41">
        <v>478.55</v>
      </c>
      <c r="AK4" s="41"/>
      <c r="AL4" s="64">
        <v>0.51</v>
      </c>
      <c r="AM4" s="65"/>
      <c r="AN4" s="41">
        <v>2.1</v>
      </c>
      <c r="AO4" s="39">
        <f>(AN4-$AN$3)*100/$AN$3</f>
        <v>2.9411764705882377</v>
      </c>
      <c r="AP4" s="1"/>
    </row>
    <row r="5" spans="1:42">
      <c r="A5" s="4"/>
      <c r="B5" s="3"/>
      <c r="C5" s="3"/>
      <c r="D5" s="3"/>
      <c r="E5" s="3"/>
      <c r="F5" s="3"/>
      <c r="G5" s="144" t="s">
        <v>98</v>
      </c>
      <c r="H5" s="145"/>
      <c r="I5" s="51" t="s">
        <v>104</v>
      </c>
      <c r="J5" s="51">
        <v>5</v>
      </c>
      <c r="K5" s="51">
        <v>3</v>
      </c>
      <c r="L5" s="68">
        <v>15</v>
      </c>
      <c r="M5" s="52">
        <f t="shared" ref="M5:M9" si="2">(L5-$L$3)*100/$L$3</f>
        <v>-28.571428571428573</v>
      </c>
      <c r="N5" s="53">
        <f>N3</f>
        <v>476.5</v>
      </c>
      <c r="O5" s="53">
        <f>O3</f>
        <v>1.8029999999999999</v>
      </c>
      <c r="P5" s="53">
        <f>P4</f>
        <v>1</v>
      </c>
      <c r="Q5" s="54">
        <f t="shared" si="0"/>
        <v>479.303</v>
      </c>
      <c r="R5" s="53">
        <v>478.61</v>
      </c>
      <c r="S5" s="51">
        <v>0.56999999999999995</v>
      </c>
      <c r="T5" s="5"/>
      <c r="U5" s="79">
        <v>3.31</v>
      </c>
      <c r="V5" s="79">
        <f t="shared" si="1"/>
        <v>40.254237288135599</v>
      </c>
      <c r="W5" s="2"/>
      <c r="X5" s="2"/>
      <c r="Y5" s="2"/>
      <c r="Z5" s="2"/>
      <c r="AA5" s="2"/>
      <c r="AB5" s="2"/>
      <c r="AC5" s="2"/>
      <c r="AD5" s="4"/>
      <c r="AE5" s="3"/>
      <c r="AF5" s="2" t="s">
        <v>151</v>
      </c>
      <c r="AG5" s="2">
        <v>17</v>
      </c>
      <c r="AH5" s="19">
        <f t="shared" ref="AH5:AH7" si="3">(AG5-$AG$3)*100/$AG$3</f>
        <v>-32</v>
      </c>
      <c r="AI5" s="39">
        <f>Q5</f>
        <v>479.303</v>
      </c>
      <c r="AJ5" s="41">
        <v>478.71</v>
      </c>
      <c r="AK5" s="41"/>
      <c r="AL5" s="64">
        <v>0.67</v>
      </c>
      <c r="AM5" s="65"/>
      <c r="AN5" s="41">
        <v>2.74</v>
      </c>
      <c r="AO5" s="39">
        <f t="shared" ref="AO5:AO6" si="4">(AN5-$AN$3)*100/$AN$3</f>
        <v>34.313725490196084</v>
      </c>
      <c r="AP5" s="1"/>
    </row>
    <row r="6" spans="1:42">
      <c r="A6" s="4"/>
      <c r="B6" s="3"/>
      <c r="C6" s="3"/>
      <c r="D6" s="3"/>
      <c r="E6" s="3"/>
      <c r="F6" s="3"/>
      <c r="G6" s="142" t="s">
        <v>106</v>
      </c>
      <c r="H6" s="143"/>
      <c r="I6" s="81" t="s">
        <v>105</v>
      </c>
      <c r="J6" s="81">
        <v>4</v>
      </c>
      <c r="K6" s="81">
        <v>3</v>
      </c>
      <c r="L6" s="82">
        <v>12</v>
      </c>
      <c r="M6" s="83">
        <f t="shared" si="2"/>
        <v>-42.857142857142854</v>
      </c>
      <c r="N6" s="84">
        <f>N3</f>
        <v>476.5</v>
      </c>
      <c r="O6" s="84">
        <f>O3</f>
        <v>1.8029999999999999</v>
      </c>
      <c r="P6" s="84">
        <f>P4</f>
        <v>1</v>
      </c>
      <c r="Q6" s="85">
        <f t="shared" si="0"/>
        <v>479.303</v>
      </c>
      <c r="R6" s="84">
        <v>478.74</v>
      </c>
      <c r="S6" s="81">
        <v>0.7</v>
      </c>
      <c r="T6" s="5"/>
      <c r="U6" s="79">
        <v>10.06</v>
      </c>
      <c r="V6" s="79">
        <f t="shared" si="1"/>
        <v>326.27118644067804</v>
      </c>
      <c r="W6" s="2"/>
      <c r="X6" s="2"/>
      <c r="Y6" s="2"/>
      <c r="Z6" s="2"/>
      <c r="AA6" s="2"/>
      <c r="AB6" s="2"/>
      <c r="AC6" s="2"/>
      <c r="AD6" s="4"/>
      <c r="AE6" s="3"/>
      <c r="AF6" s="81" t="s">
        <v>152</v>
      </c>
      <c r="AG6" s="81">
        <v>15</v>
      </c>
      <c r="AH6" s="83">
        <f t="shared" si="3"/>
        <v>-40</v>
      </c>
      <c r="AI6" s="85">
        <f>Q6</f>
        <v>479.303</v>
      </c>
      <c r="AJ6" s="84">
        <v>478.87</v>
      </c>
      <c r="AK6" s="84"/>
      <c r="AL6" s="85">
        <v>0.83</v>
      </c>
      <c r="AM6" s="85"/>
      <c r="AN6" s="84">
        <v>3.23</v>
      </c>
      <c r="AO6" s="85">
        <f t="shared" si="4"/>
        <v>58.333333333333336</v>
      </c>
      <c r="AP6" s="1"/>
    </row>
    <row r="7" spans="1:42">
      <c r="A7" s="4"/>
      <c r="B7" s="3"/>
      <c r="C7" s="3"/>
      <c r="D7" s="3"/>
      <c r="E7" s="3"/>
      <c r="F7" s="3"/>
      <c r="G7" s="146" t="s">
        <v>124</v>
      </c>
      <c r="H7" s="147"/>
      <c r="I7" s="47" t="s">
        <v>125</v>
      </c>
      <c r="J7" s="47">
        <v>3</v>
      </c>
      <c r="K7" s="47">
        <v>3</v>
      </c>
      <c r="L7" s="69">
        <f>J7*K7</f>
        <v>9</v>
      </c>
      <c r="M7" s="48">
        <f>(L7-$L$3)*100/$L$3</f>
        <v>-57.142857142857146</v>
      </c>
      <c r="N7" s="49">
        <f>N4</f>
        <v>476.5</v>
      </c>
      <c r="O7" s="49">
        <f>O4</f>
        <v>1.8029999999999999</v>
      </c>
      <c r="P7" s="49">
        <f>P4</f>
        <v>1</v>
      </c>
      <c r="Q7" s="50">
        <f t="shared" si="0"/>
        <v>479.303</v>
      </c>
      <c r="R7" s="49">
        <v>479.3</v>
      </c>
      <c r="S7" s="47">
        <v>1.26</v>
      </c>
      <c r="T7" s="47"/>
      <c r="U7" s="69">
        <v>9.89</v>
      </c>
      <c r="V7" s="69">
        <f t="shared" si="1"/>
        <v>319.06779661016958</v>
      </c>
      <c r="W7" s="47"/>
      <c r="X7" s="47"/>
      <c r="Y7" s="47"/>
      <c r="Z7" s="47"/>
      <c r="AA7" s="47"/>
      <c r="AB7" s="47"/>
      <c r="AC7" s="47" t="s">
        <v>111</v>
      </c>
      <c r="AD7" s="4"/>
      <c r="AE7" s="3"/>
      <c r="AF7" s="47" t="s">
        <v>153</v>
      </c>
      <c r="AG7" s="47">
        <v>10</v>
      </c>
      <c r="AH7" s="22">
        <f t="shared" si="3"/>
        <v>-60</v>
      </c>
      <c r="AI7" s="49"/>
      <c r="AJ7" s="49">
        <v>479.54</v>
      </c>
      <c r="AK7" s="49"/>
      <c r="AL7" s="50">
        <v>1.5</v>
      </c>
      <c r="AM7" s="50"/>
      <c r="AN7" s="49"/>
      <c r="AO7" s="50"/>
      <c r="AP7" s="47" t="s">
        <v>109</v>
      </c>
    </row>
    <row r="8" spans="1:42" ht="17.25" customHeight="1">
      <c r="A8" s="4"/>
      <c r="B8" s="3"/>
      <c r="C8" s="3"/>
      <c r="D8" s="3"/>
      <c r="E8" s="3"/>
      <c r="F8" s="3"/>
      <c r="G8" s="146" t="s">
        <v>107</v>
      </c>
      <c r="H8" s="147"/>
      <c r="I8" s="44" t="s">
        <v>113</v>
      </c>
      <c r="J8" s="44">
        <v>3</v>
      </c>
      <c r="K8" s="44">
        <v>3</v>
      </c>
      <c r="L8" s="70">
        <f>(3.14/4)*J8*K8</f>
        <v>7.0649999999999995</v>
      </c>
      <c r="M8" s="48">
        <f t="shared" si="2"/>
        <v>-66.357142857142861</v>
      </c>
      <c r="N8" s="45">
        <f>N4</f>
        <v>476.5</v>
      </c>
      <c r="O8" s="45">
        <f t="shared" ref="O8:P8" si="5">O4</f>
        <v>1.8029999999999999</v>
      </c>
      <c r="P8" s="45">
        <f t="shared" si="5"/>
        <v>1</v>
      </c>
      <c r="Q8" s="46">
        <f t="shared" si="0"/>
        <v>479.303</v>
      </c>
      <c r="R8" s="45">
        <v>479.96</v>
      </c>
      <c r="S8" s="44">
        <v>1.92</v>
      </c>
      <c r="T8" s="44"/>
      <c r="U8" s="70">
        <v>10.28</v>
      </c>
      <c r="V8" s="69">
        <f t="shared" si="1"/>
        <v>335.59322033898309</v>
      </c>
      <c r="W8" s="47"/>
      <c r="X8" s="47"/>
      <c r="Y8" s="47"/>
      <c r="Z8" s="47"/>
      <c r="AA8" s="47"/>
      <c r="AB8" s="47"/>
      <c r="AC8" s="47" t="s">
        <v>109</v>
      </c>
      <c r="AD8" s="4"/>
      <c r="AE8" s="3"/>
      <c r="AF8" s="2"/>
      <c r="AG8" s="2"/>
      <c r="AH8" s="19"/>
      <c r="AI8" s="41"/>
      <c r="AJ8" s="41"/>
      <c r="AK8" s="41"/>
      <c r="AL8" s="64"/>
      <c r="AM8" s="65"/>
      <c r="AN8" s="41"/>
      <c r="AO8" s="39"/>
      <c r="AP8" s="1"/>
    </row>
    <row r="9" spans="1:42">
      <c r="A9" s="4"/>
      <c r="B9" s="3"/>
      <c r="C9" s="3"/>
      <c r="D9" s="3"/>
      <c r="E9" s="3"/>
      <c r="F9" s="3"/>
      <c r="G9" s="146" t="s">
        <v>110</v>
      </c>
      <c r="H9" s="147"/>
      <c r="I9" s="47" t="s">
        <v>114</v>
      </c>
      <c r="J9" s="47">
        <v>4</v>
      </c>
      <c r="K9" s="47">
        <v>4</v>
      </c>
      <c r="L9" s="70">
        <f>(3.14/4)*J9*K9</f>
        <v>12.56</v>
      </c>
      <c r="M9" s="48">
        <f t="shared" si="2"/>
        <v>-40.19047619047619</v>
      </c>
      <c r="N9" s="49">
        <f>N3</f>
        <v>476.5</v>
      </c>
      <c r="O9" s="49">
        <f>O3</f>
        <v>1.8029999999999999</v>
      </c>
      <c r="P9" s="49">
        <f>P4</f>
        <v>1</v>
      </c>
      <c r="Q9" s="50">
        <f t="shared" si="0"/>
        <v>479.303</v>
      </c>
      <c r="R9" s="49">
        <v>479.24</v>
      </c>
      <c r="S9" s="47">
        <v>1.2</v>
      </c>
      <c r="T9" s="47"/>
      <c r="U9" s="69">
        <v>9.9</v>
      </c>
      <c r="V9" s="69">
        <f t="shared" si="1"/>
        <v>319.49152542372889</v>
      </c>
      <c r="W9" s="47"/>
      <c r="X9" s="47"/>
      <c r="Y9" s="47"/>
      <c r="Z9" s="47"/>
      <c r="AA9" s="47"/>
      <c r="AB9" s="47"/>
      <c r="AC9" s="47" t="s">
        <v>111</v>
      </c>
      <c r="AD9" s="4"/>
      <c r="AE9" s="3"/>
      <c r="AF9" s="2"/>
      <c r="AG9" s="2"/>
      <c r="AH9" s="19"/>
      <c r="AI9" s="41"/>
      <c r="AJ9" s="41"/>
      <c r="AK9" s="41"/>
      <c r="AL9" s="64"/>
      <c r="AM9" s="65"/>
      <c r="AN9" s="41"/>
      <c r="AO9" s="39"/>
      <c r="AP9" s="1"/>
    </row>
    <row r="10" spans="1:42">
      <c r="A10" s="4"/>
      <c r="B10" s="3"/>
      <c r="C10" s="3"/>
      <c r="D10" s="3"/>
      <c r="E10" s="3"/>
      <c r="F10" s="3"/>
      <c r="G10" s="144" t="s">
        <v>112</v>
      </c>
      <c r="H10" s="145"/>
      <c r="I10" s="51" t="s">
        <v>115</v>
      </c>
      <c r="J10" s="51">
        <v>5</v>
      </c>
      <c r="K10" s="51">
        <v>5</v>
      </c>
      <c r="L10" s="68">
        <f>(3.14/4)*(J10*K10)</f>
        <v>19.625</v>
      </c>
      <c r="M10" s="52">
        <f>(L10-$L$3)*100/$L$3</f>
        <v>-6.5476190476190474</v>
      </c>
      <c r="N10" s="53">
        <f>N4</f>
        <v>476.5</v>
      </c>
      <c r="O10" s="53">
        <f>O4</f>
        <v>1.8029999999999999</v>
      </c>
      <c r="P10" s="53">
        <f>P4</f>
        <v>1</v>
      </c>
      <c r="Q10" s="54">
        <f t="shared" si="0"/>
        <v>479.303</v>
      </c>
      <c r="R10" s="53">
        <v>478.89</v>
      </c>
      <c r="S10" s="51">
        <v>0.85</v>
      </c>
      <c r="T10" s="5"/>
      <c r="U10" s="80">
        <v>9.65</v>
      </c>
      <c r="V10" s="79">
        <f t="shared" si="1"/>
        <v>308.8983050847458</v>
      </c>
      <c r="W10" s="5"/>
      <c r="X10" s="5"/>
      <c r="Y10" s="5"/>
      <c r="Z10" s="5"/>
      <c r="AA10" s="5"/>
      <c r="AB10" s="5"/>
      <c r="AC10" s="5"/>
      <c r="AD10" s="4"/>
      <c r="AE10" s="3"/>
      <c r="AF10" s="2"/>
      <c r="AG10" s="2"/>
      <c r="AH10" s="19"/>
      <c r="AI10" s="41"/>
      <c r="AJ10" s="41"/>
      <c r="AK10" s="41"/>
      <c r="AL10" s="64"/>
      <c r="AM10" s="65"/>
      <c r="AN10" s="41"/>
      <c r="AO10" s="39"/>
      <c r="AP10" s="1"/>
    </row>
    <row r="11" spans="1:42" s="12" customFormat="1">
      <c r="A11" s="9"/>
      <c r="B11" s="10"/>
      <c r="C11" s="10"/>
      <c r="D11" s="10"/>
      <c r="E11" s="10"/>
      <c r="F11" s="10"/>
      <c r="G11" s="34"/>
      <c r="H11" s="35"/>
      <c r="I11" s="9"/>
      <c r="J11" s="9"/>
      <c r="K11" s="9"/>
      <c r="L11" s="71"/>
      <c r="M11" s="20"/>
      <c r="N11" s="20"/>
      <c r="O11" s="20"/>
      <c r="P11" s="20"/>
      <c r="Q11" s="20"/>
      <c r="R11" s="20"/>
      <c r="S11" s="9"/>
      <c r="T11" s="9"/>
      <c r="U11" s="71"/>
      <c r="V11" s="71"/>
      <c r="W11" s="9"/>
      <c r="X11" s="9"/>
      <c r="Y11" s="9"/>
      <c r="Z11" s="9"/>
      <c r="AA11" s="9"/>
      <c r="AB11" s="9"/>
      <c r="AC11" s="9"/>
      <c r="AD11" s="9"/>
      <c r="AE11" s="10"/>
      <c r="AF11" s="9"/>
      <c r="AG11" s="9"/>
      <c r="AH11" s="20"/>
      <c r="AI11" s="66"/>
      <c r="AJ11" s="66"/>
      <c r="AK11" s="66"/>
      <c r="AL11" s="66"/>
      <c r="AM11" s="66"/>
      <c r="AN11" s="40"/>
      <c r="AO11" s="40"/>
      <c r="AP11" s="10"/>
    </row>
    <row r="12" spans="1:42">
      <c r="A12" s="4">
        <v>2</v>
      </c>
      <c r="B12" s="3" t="s">
        <v>9</v>
      </c>
      <c r="C12" s="3">
        <v>19.02</v>
      </c>
      <c r="D12" s="3"/>
      <c r="E12" s="3">
        <v>0</v>
      </c>
      <c r="F12" s="3">
        <v>1</v>
      </c>
      <c r="G12" s="3"/>
      <c r="H12" s="3"/>
      <c r="I12" s="1" t="s">
        <v>69</v>
      </c>
      <c r="J12" s="1">
        <v>7</v>
      </c>
      <c r="K12" s="1">
        <v>3</v>
      </c>
      <c r="L12" s="72">
        <v>21</v>
      </c>
      <c r="M12" s="19"/>
      <c r="N12" s="19"/>
      <c r="O12" s="19"/>
      <c r="P12" s="19"/>
      <c r="Q12" s="19"/>
      <c r="R12" s="19"/>
      <c r="S12" s="1">
        <v>0.23200000000000001</v>
      </c>
      <c r="T12" s="56" t="s">
        <v>38</v>
      </c>
      <c r="U12" s="72">
        <v>3.4590000000000001</v>
      </c>
      <c r="V12" s="72"/>
      <c r="W12" s="1"/>
      <c r="X12" s="1"/>
      <c r="Y12" s="1"/>
      <c r="Z12" s="1"/>
      <c r="AA12" s="1"/>
      <c r="AB12" s="1"/>
      <c r="AC12" s="1"/>
      <c r="AD12" s="4">
        <v>2</v>
      </c>
      <c r="AE12" s="3" t="s">
        <v>9</v>
      </c>
      <c r="AF12" s="1" t="s">
        <v>37</v>
      </c>
      <c r="AG12" s="1">
        <v>26</v>
      </c>
      <c r="AH12" s="19"/>
      <c r="AI12" s="39"/>
      <c r="AJ12" s="41"/>
      <c r="AK12" s="41"/>
      <c r="AL12" s="41">
        <v>0.14799999999999999</v>
      </c>
      <c r="AM12" s="67">
        <v>0.14000000000000001</v>
      </c>
      <c r="AN12" s="41"/>
      <c r="AO12" s="41"/>
      <c r="AP12" s="1"/>
    </row>
    <row r="13" spans="1:42">
      <c r="A13" s="4"/>
      <c r="B13" s="3"/>
      <c r="C13" s="3"/>
      <c r="D13" s="3"/>
      <c r="E13" s="3"/>
      <c r="F13" s="3"/>
      <c r="G13" s="140" t="s">
        <v>63</v>
      </c>
      <c r="H13" s="141"/>
      <c r="I13" s="1" t="s">
        <v>71</v>
      </c>
      <c r="J13" s="1">
        <v>7</v>
      </c>
      <c r="K13" s="1">
        <v>3</v>
      </c>
      <c r="L13" s="72">
        <v>21</v>
      </c>
      <c r="M13" s="19"/>
      <c r="N13" s="19"/>
      <c r="O13" s="19"/>
      <c r="P13" s="19"/>
      <c r="Q13" s="19"/>
      <c r="R13" s="19"/>
      <c r="S13" s="1">
        <v>-0.05</v>
      </c>
      <c r="T13" s="56"/>
      <c r="U13" s="72">
        <v>5.63</v>
      </c>
      <c r="V13" s="72"/>
      <c r="W13" s="1"/>
      <c r="X13" s="1"/>
      <c r="Y13" s="1"/>
      <c r="Z13" s="1"/>
      <c r="AA13" s="1"/>
      <c r="AB13" s="1"/>
      <c r="AC13" s="1"/>
      <c r="AD13" s="4"/>
      <c r="AE13" s="3"/>
      <c r="AF13" s="1" t="s">
        <v>37</v>
      </c>
      <c r="AG13" s="1">
        <v>26</v>
      </c>
      <c r="AH13" s="19"/>
      <c r="AI13" s="39"/>
      <c r="AJ13" s="41"/>
      <c r="AK13" s="41"/>
      <c r="AL13" s="41">
        <v>0.11</v>
      </c>
      <c r="AM13" s="67"/>
      <c r="AN13" s="41">
        <v>3.1</v>
      </c>
      <c r="AO13" s="41"/>
      <c r="AP13" s="1"/>
    </row>
    <row r="14" spans="1:42">
      <c r="A14" s="4"/>
      <c r="B14" s="3"/>
      <c r="C14" s="3"/>
      <c r="D14" s="3"/>
      <c r="E14" s="3"/>
      <c r="F14" s="3"/>
      <c r="G14" s="140" t="s">
        <v>224</v>
      </c>
      <c r="H14" s="141"/>
      <c r="I14" s="1" t="s">
        <v>70</v>
      </c>
      <c r="J14" s="1">
        <v>5</v>
      </c>
      <c r="K14" s="1">
        <v>3</v>
      </c>
      <c r="L14" s="72">
        <v>15</v>
      </c>
      <c r="M14" s="19">
        <f>(L14-$L$13)*100/$L$13</f>
        <v>-28.571428571428573</v>
      </c>
      <c r="N14" s="41">
        <v>466.5</v>
      </c>
      <c r="O14" s="41">
        <v>1.6120000000000001</v>
      </c>
      <c r="P14" s="41">
        <v>1</v>
      </c>
      <c r="Q14" s="54">
        <f>N14+O14+P14</f>
        <v>469.11200000000002</v>
      </c>
      <c r="R14" s="41">
        <v>468.43</v>
      </c>
      <c r="S14" s="41">
        <v>0.32</v>
      </c>
      <c r="T14" s="56"/>
      <c r="U14" s="72">
        <v>7.74</v>
      </c>
      <c r="V14" s="79">
        <f>(U14-$U$13)*100/$U$13</f>
        <v>37.477797513321498</v>
      </c>
      <c r="W14" s="2">
        <v>485.7</v>
      </c>
      <c r="X14" s="2">
        <v>466.5</v>
      </c>
      <c r="Y14" s="2">
        <v>1</v>
      </c>
      <c r="Z14" s="2">
        <v>1</v>
      </c>
      <c r="AA14" s="2">
        <v>0.6</v>
      </c>
      <c r="AB14" s="2">
        <f>W14-X14-Y14-Z14-AA14</f>
        <v>16.599999999999987</v>
      </c>
      <c r="AC14" s="2"/>
      <c r="AD14" s="4"/>
      <c r="AE14" s="3"/>
      <c r="AF14" s="1" t="s">
        <v>72</v>
      </c>
      <c r="AG14" s="1">
        <v>20</v>
      </c>
      <c r="AH14" s="19">
        <f>(AG14-$AG$13)*100/$AG$13</f>
        <v>-23.076923076923077</v>
      </c>
      <c r="AI14" s="39">
        <f>Q14</f>
        <v>469.11200000000002</v>
      </c>
      <c r="AJ14" s="41">
        <v>467.9</v>
      </c>
      <c r="AK14" s="39">
        <f>AB14</f>
        <v>16.599999999999987</v>
      </c>
      <c r="AL14" s="41">
        <v>0.28999999999999998</v>
      </c>
      <c r="AM14" s="67"/>
      <c r="AN14" s="41">
        <v>3.57</v>
      </c>
      <c r="AO14" s="39">
        <f>(AN14-$AN$13)*100/$AN$13</f>
        <v>15.161290322580635</v>
      </c>
      <c r="AP14" s="1"/>
    </row>
    <row r="15" spans="1:42">
      <c r="A15" s="4"/>
      <c r="B15" s="3"/>
      <c r="C15" s="3"/>
      <c r="D15" s="3"/>
      <c r="E15" s="3"/>
      <c r="F15" s="3"/>
      <c r="G15" s="142" t="s">
        <v>126</v>
      </c>
      <c r="H15" s="143"/>
      <c r="I15" s="86" t="s">
        <v>127</v>
      </c>
      <c r="J15" s="86">
        <v>4</v>
      </c>
      <c r="K15" s="86">
        <v>3</v>
      </c>
      <c r="L15" s="87">
        <f>J15*K15</f>
        <v>12</v>
      </c>
      <c r="M15" s="83">
        <f>(L15-$L$13)*100/$L$13</f>
        <v>-42.857142857142854</v>
      </c>
      <c r="N15" s="84"/>
      <c r="O15" s="84"/>
      <c r="P15" s="84"/>
      <c r="Q15" s="84"/>
      <c r="R15" s="84">
        <v>468.73</v>
      </c>
      <c r="S15" s="84">
        <v>0.62</v>
      </c>
      <c r="T15" s="56"/>
      <c r="U15" s="72">
        <v>7.99</v>
      </c>
      <c r="V15" s="79">
        <f>(U15-$U$13)*100/$U$13</f>
        <v>41.918294849023098</v>
      </c>
      <c r="W15" s="2"/>
      <c r="X15" s="2"/>
      <c r="Y15" s="2"/>
      <c r="Z15" s="2"/>
      <c r="AA15" s="2"/>
      <c r="AB15" s="2"/>
      <c r="AC15" s="2"/>
      <c r="AD15" s="4"/>
      <c r="AE15" s="3"/>
      <c r="AF15" s="86" t="s">
        <v>155</v>
      </c>
      <c r="AG15" s="86">
        <v>10</v>
      </c>
      <c r="AH15" s="83">
        <f>(AG15-$AG$13)*100/$AG$13</f>
        <v>-61.53846153846154</v>
      </c>
      <c r="AI15" s="85"/>
      <c r="AJ15" s="84">
        <v>468.58</v>
      </c>
      <c r="AK15" s="84"/>
      <c r="AL15" s="84">
        <v>0.97</v>
      </c>
      <c r="AM15" s="84"/>
      <c r="AN15" s="84">
        <v>4.67</v>
      </c>
      <c r="AO15" s="85">
        <f>(AN15-$AN$13)*100/$AN$13</f>
        <v>50.645161290322569</v>
      </c>
      <c r="AP15" s="1"/>
    </row>
    <row r="16" spans="1:42">
      <c r="A16" s="4"/>
      <c r="B16" s="3"/>
      <c r="C16" s="3"/>
      <c r="D16" s="3"/>
      <c r="E16" s="3"/>
      <c r="F16" s="3"/>
      <c r="G16" s="146" t="s">
        <v>128</v>
      </c>
      <c r="H16" s="147"/>
      <c r="I16" s="15" t="s">
        <v>129</v>
      </c>
      <c r="J16" s="15">
        <v>3</v>
      </c>
      <c r="K16" s="15">
        <v>3</v>
      </c>
      <c r="L16" s="73">
        <f>J16*K16</f>
        <v>9</v>
      </c>
      <c r="M16" s="48">
        <f>(L16-$L$13)*100/$L$13</f>
        <v>-57.142857142857146</v>
      </c>
      <c r="N16" s="49"/>
      <c r="O16" s="49"/>
      <c r="P16" s="49"/>
      <c r="Q16" s="49"/>
      <c r="R16" s="49">
        <v>469.21</v>
      </c>
      <c r="S16" s="49">
        <v>1.1000000000000001</v>
      </c>
      <c r="T16" s="58"/>
      <c r="U16" s="73">
        <v>8.1</v>
      </c>
      <c r="V16" s="69">
        <f>(U16-$U$13)*100/$U$13</f>
        <v>43.872113676731793</v>
      </c>
      <c r="W16" s="47"/>
      <c r="X16" s="47"/>
      <c r="Y16" s="47"/>
      <c r="Z16" s="47"/>
      <c r="AA16" s="47"/>
      <c r="AB16" s="47"/>
      <c r="AC16" s="47" t="s">
        <v>109</v>
      </c>
      <c r="AD16" s="4"/>
      <c r="AE16" s="3"/>
      <c r="AF16" s="1"/>
      <c r="AG16" s="1"/>
      <c r="AH16" s="19"/>
      <c r="AI16" s="41"/>
      <c r="AJ16" s="41"/>
      <c r="AK16" s="41"/>
      <c r="AL16" s="41"/>
      <c r="AM16" s="67"/>
      <c r="AN16" s="41"/>
      <c r="AO16" s="39"/>
      <c r="AP16" s="1"/>
    </row>
    <row r="17" spans="1:42">
      <c r="A17" s="4"/>
      <c r="B17" s="3"/>
      <c r="C17" s="3"/>
      <c r="D17" s="3"/>
      <c r="E17" s="3"/>
      <c r="F17" s="3"/>
      <c r="G17" s="146" t="s">
        <v>130</v>
      </c>
      <c r="H17" s="147"/>
      <c r="I17" s="47" t="s">
        <v>114</v>
      </c>
      <c r="J17" s="15">
        <v>4</v>
      </c>
      <c r="K17" s="15">
        <v>4</v>
      </c>
      <c r="L17" s="70">
        <f>(3.14/4)*J17*K17</f>
        <v>12.56</v>
      </c>
      <c r="M17" s="48">
        <f>(L17-$L$13)*100/$L$13</f>
        <v>-40.19047619047619</v>
      </c>
      <c r="N17" s="49"/>
      <c r="O17" s="49"/>
      <c r="P17" s="49"/>
      <c r="Q17" s="49"/>
      <c r="R17" s="49">
        <v>469.21</v>
      </c>
      <c r="S17" s="49">
        <v>1.1000000000000001</v>
      </c>
      <c r="T17" s="58"/>
      <c r="U17" s="73">
        <v>8.57</v>
      </c>
      <c r="V17" s="69">
        <f>(U17-$U$13)*100/$U$13</f>
        <v>52.220248667850811</v>
      </c>
      <c r="W17" s="47"/>
      <c r="X17" s="47"/>
      <c r="Y17" s="47"/>
      <c r="Z17" s="47"/>
      <c r="AA17" s="47"/>
      <c r="AB17" s="47"/>
      <c r="AC17" s="47" t="s">
        <v>109</v>
      </c>
      <c r="AD17" s="4"/>
      <c r="AE17" s="3"/>
      <c r="AF17" s="1"/>
      <c r="AG17" s="1"/>
      <c r="AH17" s="19"/>
      <c r="AI17" s="41"/>
      <c r="AJ17" s="41"/>
      <c r="AK17" s="41"/>
      <c r="AL17" s="41"/>
      <c r="AM17" s="67"/>
      <c r="AN17" s="41"/>
      <c r="AO17" s="39"/>
      <c r="AP17" s="1"/>
    </row>
    <row r="18" spans="1:42">
      <c r="A18" s="4"/>
      <c r="B18" s="3"/>
      <c r="C18" s="3"/>
      <c r="D18" s="3"/>
      <c r="E18" s="3"/>
      <c r="F18" s="3"/>
      <c r="G18" s="140" t="s">
        <v>131</v>
      </c>
      <c r="H18" s="141"/>
      <c r="I18" s="5" t="s">
        <v>115</v>
      </c>
      <c r="J18" s="11">
        <v>5</v>
      </c>
      <c r="K18" s="11">
        <v>5</v>
      </c>
      <c r="L18" s="68">
        <f>(3.14/4)*(J18*K18)</f>
        <v>19.625</v>
      </c>
      <c r="M18" s="19">
        <f>(L18-$L$13)*100/$L$13</f>
        <v>-6.5476190476190474</v>
      </c>
      <c r="N18" s="60"/>
      <c r="O18" s="60"/>
      <c r="P18" s="60"/>
      <c r="Q18" s="60"/>
      <c r="R18" s="60">
        <v>468.9</v>
      </c>
      <c r="S18" s="60">
        <v>0.79</v>
      </c>
      <c r="T18" s="56"/>
      <c r="U18" s="78">
        <v>8.43</v>
      </c>
      <c r="V18" s="79">
        <f>(U18-$U$13)*100/$U$13</f>
        <v>49.733570159857905</v>
      </c>
      <c r="W18" s="5"/>
      <c r="X18" s="5"/>
      <c r="Y18" s="5"/>
      <c r="Z18" s="5"/>
      <c r="AA18" s="5"/>
      <c r="AB18" s="5"/>
      <c r="AC18" s="5"/>
      <c r="AD18" s="4"/>
      <c r="AE18" s="3"/>
      <c r="AF18" s="1"/>
      <c r="AG18" s="1"/>
      <c r="AH18" s="19"/>
      <c r="AI18" s="41"/>
      <c r="AJ18" s="41"/>
      <c r="AK18" s="41"/>
      <c r="AL18" s="41"/>
      <c r="AM18" s="67"/>
      <c r="AN18" s="41"/>
      <c r="AO18" s="39"/>
      <c r="AP18" s="1"/>
    </row>
    <row r="19" spans="1:42" s="12" customFormat="1">
      <c r="A19" s="9"/>
      <c r="B19" s="10"/>
      <c r="C19" s="10"/>
      <c r="D19" s="10"/>
      <c r="E19" s="10"/>
      <c r="F19" s="10"/>
      <c r="G19" s="34"/>
      <c r="H19" s="35"/>
      <c r="I19" s="10"/>
      <c r="J19" s="10"/>
      <c r="K19" s="10"/>
      <c r="L19" s="74"/>
      <c r="M19" s="21"/>
      <c r="N19" s="21"/>
      <c r="O19" s="21"/>
      <c r="P19" s="21"/>
      <c r="Q19" s="21"/>
      <c r="R19" s="21"/>
      <c r="S19" s="10"/>
      <c r="T19" s="13"/>
      <c r="U19" s="74"/>
      <c r="V19" s="74"/>
      <c r="W19" s="10"/>
      <c r="X19" s="10"/>
      <c r="Y19" s="10"/>
      <c r="Z19" s="10"/>
      <c r="AA19" s="10"/>
      <c r="AB19" s="10"/>
      <c r="AC19" s="10"/>
      <c r="AD19" s="9"/>
      <c r="AE19" s="10"/>
      <c r="AF19" s="10"/>
      <c r="AG19" s="10"/>
      <c r="AH19" s="21"/>
      <c r="AI19" s="40"/>
      <c r="AJ19" s="40"/>
      <c r="AK19" s="40"/>
      <c r="AL19" s="40"/>
      <c r="AM19" s="40"/>
      <c r="AN19" s="40"/>
      <c r="AO19" s="40"/>
      <c r="AP19" s="10"/>
    </row>
    <row r="20" spans="1:42">
      <c r="A20" s="3">
        <v>3</v>
      </c>
      <c r="B20" s="3" t="s">
        <v>10</v>
      </c>
      <c r="C20" s="3">
        <v>31.49</v>
      </c>
      <c r="D20" s="3"/>
      <c r="E20" s="3">
        <v>0</v>
      </c>
      <c r="F20" s="3">
        <v>1</v>
      </c>
      <c r="G20" s="3"/>
      <c r="H20" s="3"/>
      <c r="I20" s="1" t="s">
        <v>34</v>
      </c>
      <c r="J20" s="1">
        <v>3.5</v>
      </c>
      <c r="K20" s="1">
        <v>3.5</v>
      </c>
      <c r="L20" s="75">
        <f>(3.14/4)*J20*K20</f>
        <v>9.6162500000000009</v>
      </c>
      <c r="M20" s="19"/>
      <c r="N20" s="19"/>
      <c r="O20" s="19"/>
      <c r="P20" s="19"/>
      <c r="Q20" s="19"/>
      <c r="R20" s="19"/>
      <c r="S20" s="1">
        <v>0.14000000000000001</v>
      </c>
      <c r="T20" s="11"/>
      <c r="U20" s="72">
        <v>5.2709999999999999</v>
      </c>
      <c r="V20" s="72"/>
      <c r="W20" s="1"/>
      <c r="X20" s="1"/>
      <c r="Y20" s="1"/>
      <c r="Z20" s="1"/>
      <c r="AA20" s="1"/>
      <c r="AB20" s="1"/>
      <c r="AC20" s="1"/>
      <c r="AD20" s="3">
        <v>3</v>
      </c>
      <c r="AE20" s="3" t="s">
        <v>10</v>
      </c>
      <c r="AF20" s="1" t="s">
        <v>74</v>
      </c>
      <c r="AG20" s="1">
        <v>14.7</v>
      </c>
      <c r="AH20" s="19"/>
      <c r="AI20" s="41"/>
      <c r="AJ20" s="41"/>
      <c r="AK20" s="41"/>
      <c r="AL20" s="41">
        <v>7.0000000000000007E-2</v>
      </c>
      <c r="AM20" s="41"/>
      <c r="AN20" s="41">
        <v>4.28</v>
      </c>
      <c r="AO20" s="41"/>
      <c r="AP20" s="1"/>
    </row>
    <row r="21" spans="1:42">
      <c r="A21" s="3"/>
      <c r="B21" s="3"/>
      <c r="C21" s="3"/>
      <c r="D21" s="3"/>
      <c r="E21" s="3"/>
      <c r="F21" s="3"/>
      <c r="G21" s="140" t="s">
        <v>63</v>
      </c>
      <c r="H21" s="141"/>
      <c r="I21" s="1" t="s">
        <v>34</v>
      </c>
      <c r="J21" s="1">
        <v>3.5</v>
      </c>
      <c r="K21" s="1">
        <v>3.5</v>
      </c>
      <c r="L21" s="75">
        <f>(3.14/4)*J21*K21</f>
        <v>9.6162500000000009</v>
      </c>
      <c r="M21" s="19"/>
      <c r="N21" s="41">
        <v>474.13</v>
      </c>
      <c r="O21" s="41">
        <v>4.28</v>
      </c>
      <c r="P21" s="41">
        <v>1</v>
      </c>
      <c r="Q21" s="41">
        <f>N21+O21+P21</f>
        <v>479.40999999999997</v>
      </c>
      <c r="R21" s="41">
        <v>478.55</v>
      </c>
      <c r="S21" s="1">
        <v>0.14000000000000001</v>
      </c>
      <c r="T21" s="11"/>
      <c r="U21" s="72">
        <v>5.2709999999999999</v>
      </c>
      <c r="V21" s="72"/>
      <c r="W21" s="1">
        <v>490.14</v>
      </c>
      <c r="X21" s="1">
        <v>474.13</v>
      </c>
      <c r="Y21" s="1">
        <v>1</v>
      </c>
      <c r="Z21" s="1">
        <v>1</v>
      </c>
      <c r="AA21" s="1">
        <v>0.6</v>
      </c>
      <c r="AB21" s="1">
        <f>W21-X21-Y21-Z21-AA21</f>
        <v>13.409999999999991</v>
      </c>
      <c r="AC21" s="1"/>
      <c r="AD21" s="3"/>
      <c r="AE21" s="3"/>
      <c r="AF21" s="1" t="s">
        <v>74</v>
      </c>
      <c r="AG21" s="1">
        <v>14.7</v>
      </c>
      <c r="AH21" s="19"/>
      <c r="AI21" s="39">
        <f>Q21</f>
        <v>479.40999999999997</v>
      </c>
      <c r="AJ21" s="41"/>
      <c r="AK21" s="39">
        <f>AB21</f>
        <v>13.409999999999991</v>
      </c>
      <c r="AL21" s="41">
        <v>7.0000000000000007E-2</v>
      </c>
      <c r="AM21" s="41"/>
      <c r="AN21" s="41">
        <v>3.36</v>
      </c>
      <c r="AO21" s="41"/>
      <c r="AP21" s="1"/>
    </row>
    <row r="22" spans="1:42">
      <c r="A22" s="3"/>
      <c r="B22" s="3"/>
      <c r="C22" s="3"/>
      <c r="D22" s="3"/>
      <c r="E22" s="3"/>
      <c r="F22" s="3"/>
      <c r="G22" s="138" t="s">
        <v>57</v>
      </c>
      <c r="H22" s="139"/>
      <c r="I22" s="14" t="s">
        <v>29</v>
      </c>
      <c r="J22" s="14"/>
      <c r="K22" s="14"/>
      <c r="L22" s="76"/>
      <c r="M22" s="22"/>
      <c r="N22" s="22"/>
      <c r="O22" s="22"/>
      <c r="P22" s="22"/>
      <c r="Q22" s="22"/>
      <c r="R22" s="22"/>
      <c r="S22" s="14">
        <v>1.1399999999999999</v>
      </c>
      <c r="T22" s="14"/>
      <c r="U22" s="76">
        <v>7.17</v>
      </c>
      <c r="V22" s="76"/>
      <c r="W22" s="14"/>
      <c r="X22" s="14"/>
      <c r="Y22" s="14"/>
      <c r="Z22" s="14"/>
      <c r="AA22" s="14"/>
      <c r="AB22" s="14"/>
      <c r="AC22" s="14" t="s">
        <v>132</v>
      </c>
      <c r="AD22" s="3"/>
      <c r="AE22" s="3"/>
      <c r="AF22" s="86" t="s">
        <v>73</v>
      </c>
      <c r="AG22" s="86">
        <v>11.6</v>
      </c>
      <c r="AH22" s="83">
        <f>(AG22-AG21)*100/AG21</f>
        <v>-21.088435374149658</v>
      </c>
      <c r="AI22" s="84"/>
      <c r="AJ22" s="84"/>
      <c r="AK22" s="84"/>
      <c r="AL22" s="84">
        <v>0.79</v>
      </c>
      <c r="AM22" s="84"/>
      <c r="AN22" s="84">
        <v>4.28</v>
      </c>
      <c r="AO22" s="85">
        <f>(AN22-AN21)*100/AN21</f>
        <v>27.380952380952394</v>
      </c>
      <c r="AP22" s="1"/>
    </row>
    <row r="23" spans="1:42">
      <c r="A23" s="3"/>
      <c r="B23" s="3"/>
      <c r="C23" s="3"/>
      <c r="D23" s="3"/>
      <c r="E23" s="3"/>
      <c r="F23" s="3"/>
      <c r="G23" s="37"/>
      <c r="H23" s="38"/>
      <c r="I23" s="14"/>
      <c r="J23" s="14"/>
      <c r="K23" s="14"/>
      <c r="L23" s="76"/>
      <c r="M23" s="22"/>
      <c r="N23" s="22"/>
      <c r="O23" s="22"/>
      <c r="P23" s="22"/>
      <c r="Q23" s="22"/>
      <c r="R23" s="22"/>
      <c r="S23" s="14"/>
      <c r="T23" s="14"/>
      <c r="U23" s="76"/>
      <c r="V23" s="76"/>
      <c r="W23" s="14"/>
      <c r="X23" s="14"/>
      <c r="Y23" s="14"/>
      <c r="Z23" s="14"/>
      <c r="AA23" s="14"/>
      <c r="AB23" s="14"/>
      <c r="AC23" s="14"/>
      <c r="AD23" s="3"/>
      <c r="AE23" s="3"/>
      <c r="AF23" s="15" t="s">
        <v>156</v>
      </c>
      <c r="AG23" s="15"/>
      <c r="AH23" s="48"/>
      <c r="AI23" s="49"/>
      <c r="AJ23" s="49">
        <v>480.82</v>
      </c>
      <c r="AK23" s="49"/>
      <c r="AL23" s="49">
        <v>2.41</v>
      </c>
      <c r="AM23" s="49"/>
      <c r="AN23" s="49"/>
      <c r="AO23" s="50"/>
      <c r="AP23" s="47" t="s">
        <v>109</v>
      </c>
    </row>
    <row r="24" spans="1:42">
      <c r="A24" s="3"/>
      <c r="B24" s="3"/>
      <c r="C24" s="3"/>
      <c r="D24" s="3"/>
      <c r="E24" s="3"/>
      <c r="F24" s="3"/>
      <c r="G24" s="37"/>
      <c r="H24" s="38"/>
      <c r="I24" s="14"/>
      <c r="J24" s="14"/>
      <c r="K24" s="14"/>
      <c r="L24" s="76"/>
      <c r="M24" s="22"/>
      <c r="N24" s="22"/>
      <c r="O24" s="22"/>
      <c r="P24" s="22"/>
      <c r="Q24" s="22"/>
      <c r="R24" s="22"/>
      <c r="S24" s="14"/>
      <c r="T24" s="14"/>
      <c r="U24" s="76"/>
      <c r="V24" s="76"/>
      <c r="W24" s="14"/>
      <c r="X24" s="14"/>
      <c r="Y24" s="14"/>
      <c r="Z24" s="14"/>
      <c r="AA24" s="14"/>
      <c r="AB24" s="14"/>
      <c r="AC24" s="14"/>
      <c r="AD24" s="3"/>
      <c r="AE24" s="3"/>
      <c r="AF24" s="1"/>
      <c r="AG24" s="1"/>
      <c r="AH24" s="19"/>
      <c r="AI24" s="41"/>
      <c r="AJ24" s="41"/>
      <c r="AK24" s="41"/>
      <c r="AL24" s="41"/>
      <c r="AM24" s="41"/>
      <c r="AN24" s="41"/>
      <c r="AO24" s="39"/>
      <c r="AP24" s="1"/>
    </row>
    <row r="25" spans="1:42" s="12" customFormat="1">
      <c r="A25" s="10"/>
      <c r="B25" s="10"/>
      <c r="C25" s="10"/>
      <c r="D25" s="10"/>
      <c r="E25" s="10"/>
      <c r="F25" s="10"/>
      <c r="G25" s="16"/>
      <c r="H25" s="17"/>
      <c r="I25" s="18"/>
      <c r="J25" s="18"/>
      <c r="K25" s="18"/>
      <c r="L25" s="77"/>
      <c r="M25" s="23"/>
      <c r="N25" s="23"/>
      <c r="O25" s="23"/>
      <c r="P25" s="23"/>
      <c r="Q25" s="23"/>
      <c r="R25" s="23"/>
      <c r="S25" s="18"/>
      <c r="T25" s="18"/>
      <c r="U25" s="77"/>
      <c r="V25" s="77"/>
      <c r="W25" s="18"/>
      <c r="X25" s="18"/>
      <c r="Y25" s="18"/>
      <c r="Z25" s="18"/>
      <c r="AA25" s="18"/>
      <c r="AB25" s="18"/>
      <c r="AC25" s="18"/>
      <c r="AD25" s="10"/>
      <c r="AE25" s="10"/>
      <c r="AF25" s="10"/>
      <c r="AG25" s="10"/>
      <c r="AH25" s="21"/>
      <c r="AI25" s="40"/>
      <c r="AJ25" s="40"/>
      <c r="AK25" s="40"/>
      <c r="AL25" s="40"/>
      <c r="AM25" s="40"/>
      <c r="AN25" s="40"/>
      <c r="AO25" s="40"/>
      <c r="AP25" s="10"/>
    </row>
    <row r="26" spans="1:42">
      <c r="A26" s="4">
        <v>4</v>
      </c>
      <c r="B26" s="3" t="s">
        <v>11</v>
      </c>
      <c r="C26" s="3">
        <v>14.08</v>
      </c>
      <c r="D26" s="3"/>
      <c r="E26" s="3">
        <v>0</v>
      </c>
      <c r="F26" s="3">
        <v>1</v>
      </c>
      <c r="G26" s="3"/>
      <c r="H26" s="3"/>
      <c r="I26" s="1" t="s">
        <v>41</v>
      </c>
      <c r="J26" s="1"/>
      <c r="K26" s="1"/>
      <c r="L26" s="72">
        <v>12.85</v>
      </c>
      <c r="M26" s="19"/>
      <c r="N26" s="19"/>
      <c r="O26" s="19"/>
      <c r="P26" s="19"/>
      <c r="Q26" s="19"/>
      <c r="R26" s="19"/>
      <c r="S26" s="1">
        <v>0.11</v>
      </c>
      <c r="T26" s="11"/>
      <c r="U26" s="72">
        <v>6.8680000000000003</v>
      </c>
      <c r="V26" s="72"/>
      <c r="W26" s="1"/>
      <c r="X26" s="1"/>
      <c r="Y26" s="1"/>
      <c r="Z26" s="1"/>
      <c r="AA26" s="1"/>
      <c r="AB26" s="1"/>
      <c r="AC26" s="1"/>
      <c r="AD26" s="4">
        <v>4</v>
      </c>
      <c r="AE26" s="3" t="s">
        <v>11</v>
      </c>
      <c r="AF26" s="1" t="s">
        <v>42</v>
      </c>
      <c r="AG26" s="1">
        <v>18.100000000000001</v>
      </c>
      <c r="AH26" s="19"/>
      <c r="AI26" s="41"/>
      <c r="AJ26" s="41"/>
      <c r="AK26" s="41"/>
      <c r="AL26" s="41">
        <v>0.14000000000000001</v>
      </c>
      <c r="AM26" s="41"/>
      <c r="AN26" s="41">
        <v>6.7759999999999998</v>
      </c>
      <c r="AO26" s="41"/>
      <c r="AP26" s="1"/>
    </row>
    <row r="27" spans="1:42">
      <c r="A27" s="4"/>
      <c r="B27" s="3"/>
      <c r="C27" s="3"/>
      <c r="D27" s="3"/>
      <c r="E27" s="3"/>
      <c r="F27" s="3"/>
      <c r="G27" s="140" t="s">
        <v>63</v>
      </c>
      <c r="H27" s="141"/>
      <c r="I27" s="1" t="s">
        <v>41</v>
      </c>
      <c r="J27" s="1"/>
      <c r="K27" s="1"/>
      <c r="L27" s="72">
        <v>12.85</v>
      </c>
      <c r="M27" s="19"/>
      <c r="N27" s="41">
        <v>467.49</v>
      </c>
      <c r="O27" s="41">
        <v>1.7330000000000001</v>
      </c>
      <c r="P27" s="41">
        <v>1</v>
      </c>
      <c r="Q27" s="54">
        <f>N27+O27+P27</f>
        <v>470.22300000000001</v>
      </c>
      <c r="R27" s="41"/>
      <c r="S27" s="41">
        <v>0.11</v>
      </c>
      <c r="T27" s="11"/>
      <c r="U27" s="72">
        <v>6.87</v>
      </c>
      <c r="V27" s="72"/>
      <c r="W27" s="1">
        <v>483.17</v>
      </c>
      <c r="X27" s="1">
        <v>467.49</v>
      </c>
      <c r="Y27" s="1">
        <v>1</v>
      </c>
      <c r="Z27" s="1">
        <v>1</v>
      </c>
      <c r="AA27" s="1">
        <v>0.6</v>
      </c>
      <c r="AB27" s="2">
        <f>W27-X27-Y27-Z27-AA27</f>
        <v>13.080000000000007</v>
      </c>
      <c r="AC27" s="1"/>
      <c r="AD27" s="4"/>
      <c r="AE27" s="3"/>
      <c r="AF27" s="1" t="s">
        <v>42</v>
      </c>
      <c r="AG27" s="1">
        <v>18.100000000000001</v>
      </c>
      <c r="AH27" s="19"/>
      <c r="AI27" s="39">
        <f>Q27</f>
        <v>470.22300000000001</v>
      </c>
      <c r="AJ27" s="41"/>
      <c r="AK27" s="39">
        <f>AB27</f>
        <v>13.080000000000007</v>
      </c>
      <c r="AL27" s="41">
        <v>0.12</v>
      </c>
      <c r="AM27" s="41"/>
      <c r="AN27" s="41">
        <v>3.37</v>
      </c>
      <c r="AO27" s="41"/>
      <c r="AP27" s="1"/>
    </row>
    <row r="28" spans="1:42">
      <c r="A28" s="4"/>
      <c r="B28" s="3"/>
      <c r="C28" s="3"/>
      <c r="D28" s="3"/>
      <c r="E28" s="3"/>
      <c r="F28" s="3"/>
      <c r="G28" s="140" t="s">
        <v>224</v>
      </c>
      <c r="H28" s="141"/>
      <c r="I28" s="1" t="s">
        <v>75</v>
      </c>
      <c r="J28" s="1"/>
      <c r="K28" s="1"/>
      <c r="L28" s="72">
        <v>10.15</v>
      </c>
      <c r="M28" s="19">
        <f>(L28-$L$27)*100/$L$27</f>
        <v>-21.011673151750969</v>
      </c>
      <c r="N28" s="41"/>
      <c r="O28" s="41"/>
      <c r="P28" s="41"/>
      <c r="Q28" s="41"/>
      <c r="R28" s="41">
        <v>469.49</v>
      </c>
      <c r="S28" s="41">
        <v>0.27</v>
      </c>
      <c r="T28" s="11"/>
      <c r="U28" s="72">
        <v>6.99</v>
      </c>
      <c r="V28" s="79">
        <f>(U28-$U$27)*100/$U$27</f>
        <v>1.746724890829696</v>
      </c>
      <c r="W28" s="2"/>
      <c r="X28" s="2"/>
      <c r="Y28" s="2"/>
      <c r="Z28" s="2"/>
      <c r="AA28" s="2"/>
      <c r="AB28" s="2"/>
      <c r="AC28" s="2"/>
      <c r="AD28" s="4"/>
      <c r="AE28" s="3"/>
      <c r="AF28" s="1" t="s">
        <v>79</v>
      </c>
      <c r="AG28" s="1">
        <v>11.6</v>
      </c>
      <c r="AH28" s="19">
        <f>(AG28-$AG$27)*100/$AG$27</f>
        <v>-35.91160220994476</v>
      </c>
      <c r="AI28" s="41"/>
      <c r="AJ28" s="41">
        <v>469.7</v>
      </c>
      <c r="AK28" s="41"/>
      <c r="AL28" s="41">
        <v>0.48</v>
      </c>
      <c r="AM28" s="41"/>
      <c r="AN28" s="41">
        <v>4.18</v>
      </c>
      <c r="AO28" s="39">
        <f>(AN28-$AN$27)*100/$AN$27</f>
        <v>24.03560830860533</v>
      </c>
      <c r="AP28" s="1"/>
    </row>
    <row r="29" spans="1:42">
      <c r="A29" s="4"/>
      <c r="B29" s="3"/>
      <c r="C29" s="3"/>
      <c r="D29" s="3"/>
      <c r="E29" s="3"/>
      <c r="F29" s="3"/>
      <c r="G29" s="140" t="s">
        <v>126</v>
      </c>
      <c r="H29" s="141"/>
      <c r="I29" s="1" t="s">
        <v>133</v>
      </c>
      <c r="J29" s="1"/>
      <c r="K29" s="1"/>
      <c r="L29" s="72">
        <v>8.81</v>
      </c>
      <c r="M29" s="19">
        <f t="shared" ref="M29:M31" si="6">(L29-$L$27)*100/$L$27</f>
        <v>-31.439688715953299</v>
      </c>
      <c r="N29" s="41"/>
      <c r="O29" s="41"/>
      <c r="P29" s="41"/>
      <c r="Q29" s="41"/>
      <c r="R29" s="41">
        <v>469.58</v>
      </c>
      <c r="S29" s="41">
        <v>0.36</v>
      </c>
      <c r="T29" s="11"/>
      <c r="U29" s="72">
        <v>7.01</v>
      </c>
      <c r="V29" s="79">
        <f t="shared" ref="V29:V31" si="7">(U29-$U$27)*100/$U$27</f>
        <v>2.037845705967972</v>
      </c>
      <c r="W29" s="2"/>
      <c r="X29" s="2"/>
      <c r="Y29" s="2"/>
      <c r="Z29" s="2"/>
      <c r="AA29" s="2"/>
      <c r="AB29" s="2"/>
      <c r="AC29" s="2"/>
      <c r="AD29" s="4"/>
      <c r="AE29" s="3"/>
      <c r="AF29" s="86" t="s">
        <v>157</v>
      </c>
      <c r="AG29" s="86">
        <v>8.9</v>
      </c>
      <c r="AH29" s="83">
        <f t="shared" ref="AH29:AH30" si="8">(AG29-$AG$27)*100/$AG$27</f>
        <v>-50.828729281767956</v>
      </c>
      <c r="AI29" s="84"/>
      <c r="AJ29" s="84">
        <v>469.96</v>
      </c>
      <c r="AK29" s="84"/>
      <c r="AL29" s="84">
        <v>0.74</v>
      </c>
      <c r="AM29" s="84"/>
      <c r="AN29" s="84">
        <v>4.7699999999999996</v>
      </c>
      <c r="AO29" s="85">
        <f t="shared" ref="AO29:AO30" si="9">(AN29-$AN$27)*100/$AN$27</f>
        <v>41.543026706231437</v>
      </c>
      <c r="AP29" s="1"/>
    </row>
    <row r="30" spans="1:42">
      <c r="A30" s="4"/>
      <c r="B30" s="3"/>
      <c r="C30" s="3"/>
      <c r="D30" s="3"/>
      <c r="E30" s="3"/>
      <c r="F30" s="3"/>
      <c r="G30" s="140" t="s">
        <v>128</v>
      </c>
      <c r="H30" s="141"/>
      <c r="I30" s="1" t="s">
        <v>134</v>
      </c>
      <c r="J30" s="1"/>
      <c r="K30" s="1"/>
      <c r="L30" s="72">
        <v>6.37</v>
      </c>
      <c r="M30" s="19">
        <f t="shared" si="6"/>
        <v>-50.428015564202333</v>
      </c>
      <c r="N30" s="41"/>
      <c r="O30" s="41"/>
      <c r="P30" s="41"/>
      <c r="Q30" s="41"/>
      <c r="R30" s="41">
        <v>469.75</v>
      </c>
      <c r="S30" s="41">
        <v>0.53</v>
      </c>
      <c r="T30" s="11"/>
      <c r="U30" s="72">
        <v>8.0299999999999994</v>
      </c>
      <c r="V30" s="79">
        <f t="shared" si="7"/>
        <v>16.885007278020367</v>
      </c>
      <c r="W30" s="2"/>
      <c r="X30" s="2"/>
      <c r="Y30" s="2"/>
      <c r="Z30" s="2"/>
      <c r="AA30" s="2"/>
      <c r="AB30" s="2"/>
      <c r="AC30" s="2"/>
      <c r="AD30" s="4"/>
      <c r="AE30" s="3"/>
      <c r="AF30" s="15" t="s">
        <v>158</v>
      </c>
      <c r="AG30" s="15">
        <v>6.5</v>
      </c>
      <c r="AH30" s="48">
        <f t="shared" si="8"/>
        <v>-64.088397790055254</v>
      </c>
      <c r="AI30" s="49"/>
      <c r="AJ30" s="49">
        <v>470.99</v>
      </c>
      <c r="AK30" s="49"/>
      <c r="AL30" s="49">
        <v>1.77</v>
      </c>
      <c r="AM30" s="49"/>
      <c r="AN30" s="49">
        <v>5.56</v>
      </c>
      <c r="AO30" s="50">
        <f t="shared" si="9"/>
        <v>64.985163204747749</v>
      </c>
      <c r="AP30" s="47" t="s">
        <v>109</v>
      </c>
    </row>
    <row r="31" spans="1:42">
      <c r="A31" s="4"/>
      <c r="B31" s="3"/>
      <c r="C31" s="3"/>
      <c r="D31" s="3"/>
      <c r="E31" s="3"/>
      <c r="F31" s="3"/>
      <c r="G31" s="142" t="s">
        <v>128</v>
      </c>
      <c r="H31" s="143"/>
      <c r="I31" s="86" t="s">
        <v>135</v>
      </c>
      <c r="J31" s="86"/>
      <c r="K31" s="86"/>
      <c r="L31" s="87">
        <v>7.06</v>
      </c>
      <c r="M31" s="83">
        <f t="shared" si="6"/>
        <v>-45.058365758754867</v>
      </c>
      <c r="N31" s="84"/>
      <c r="O31" s="84"/>
      <c r="P31" s="84"/>
      <c r="Q31" s="84"/>
      <c r="R31" s="84">
        <v>470.2</v>
      </c>
      <c r="S31" s="84">
        <v>0.98</v>
      </c>
      <c r="T31" s="11"/>
      <c r="U31" s="72">
        <v>7.54</v>
      </c>
      <c r="V31" s="79">
        <f t="shared" si="7"/>
        <v>9.7525473071324598</v>
      </c>
      <c r="W31" s="2"/>
      <c r="X31" s="2"/>
      <c r="Y31" s="2"/>
      <c r="Z31" s="2"/>
      <c r="AA31" s="2"/>
      <c r="AB31" s="2"/>
      <c r="AC31" s="2"/>
      <c r="AD31" s="4"/>
      <c r="AE31" s="3"/>
      <c r="AF31" s="1"/>
      <c r="AG31" s="1"/>
      <c r="AH31" s="19"/>
      <c r="AI31" s="41"/>
      <c r="AJ31" s="41"/>
      <c r="AK31" s="41"/>
      <c r="AL31" s="41"/>
      <c r="AM31" s="41"/>
      <c r="AN31" s="41"/>
      <c r="AO31" s="39"/>
      <c r="AP31" s="1"/>
    </row>
    <row r="32" spans="1:42" s="12" customFormat="1">
      <c r="A32" s="9"/>
      <c r="B32" s="10"/>
      <c r="C32" s="10"/>
      <c r="D32" s="10"/>
      <c r="E32" s="10"/>
      <c r="F32" s="10"/>
      <c r="G32" s="34"/>
      <c r="H32" s="35"/>
      <c r="I32" s="10"/>
      <c r="J32" s="10"/>
      <c r="K32" s="10"/>
      <c r="L32" s="74"/>
      <c r="M32" s="21"/>
      <c r="N32" s="21"/>
      <c r="O32" s="21"/>
      <c r="P32" s="21"/>
      <c r="Q32" s="21"/>
      <c r="R32" s="21"/>
      <c r="S32" s="10"/>
      <c r="T32" s="10"/>
      <c r="U32" s="74"/>
      <c r="V32" s="74"/>
      <c r="W32" s="10"/>
      <c r="X32" s="10"/>
      <c r="Y32" s="10"/>
      <c r="Z32" s="10"/>
      <c r="AA32" s="10"/>
      <c r="AB32" s="10"/>
      <c r="AC32" s="10"/>
      <c r="AD32" s="9"/>
      <c r="AE32" s="10"/>
      <c r="AF32" s="10"/>
      <c r="AG32" s="10"/>
      <c r="AH32" s="21"/>
      <c r="AI32" s="40"/>
      <c r="AJ32" s="40"/>
      <c r="AK32" s="40"/>
      <c r="AL32" s="40"/>
      <c r="AM32" s="40"/>
      <c r="AN32" s="40"/>
      <c r="AO32" s="40"/>
      <c r="AP32" s="10"/>
    </row>
    <row r="33" spans="1:42">
      <c r="A33" s="4">
        <v>5</v>
      </c>
      <c r="B33" s="3" t="s">
        <v>12</v>
      </c>
      <c r="C33" s="3">
        <v>55.99</v>
      </c>
      <c r="D33" s="3"/>
      <c r="E33" s="3">
        <v>0</v>
      </c>
      <c r="F33" s="3">
        <v>1</v>
      </c>
      <c r="G33" s="3"/>
      <c r="H33" s="3"/>
      <c r="I33" s="1" t="s">
        <v>43</v>
      </c>
      <c r="J33" s="1">
        <v>9</v>
      </c>
      <c r="K33" s="1">
        <v>5</v>
      </c>
      <c r="L33" s="72">
        <f>J33*K33</f>
        <v>45</v>
      </c>
      <c r="M33" s="19"/>
      <c r="N33" s="19"/>
      <c r="O33" s="19"/>
      <c r="P33" s="19"/>
      <c r="Q33" s="19"/>
      <c r="R33" s="19"/>
      <c r="S33" s="1">
        <v>0.14000000000000001</v>
      </c>
      <c r="T33" s="11"/>
      <c r="U33" s="72">
        <v>3.7890000000000001</v>
      </c>
      <c r="V33" s="72"/>
      <c r="W33" s="1"/>
      <c r="X33" s="1"/>
      <c r="Y33" s="1"/>
      <c r="Z33" s="1"/>
      <c r="AA33" s="1"/>
      <c r="AB33" s="1"/>
      <c r="AC33" s="1"/>
      <c r="AD33" s="4">
        <v>5</v>
      </c>
      <c r="AE33" s="3" t="s">
        <v>12</v>
      </c>
      <c r="AF33" s="1" t="s">
        <v>46</v>
      </c>
      <c r="AG33" s="1">
        <v>50</v>
      </c>
      <c r="AH33" s="19"/>
      <c r="AI33" s="41"/>
      <c r="AJ33" s="41"/>
      <c r="AK33" s="41"/>
      <c r="AL33" s="41">
        <v>0.14000000000000001</v>
      </c>
      <c r="AM33" s="41"/>
      <c r="AN33" s="41">
        <v>3.26</v>
      </c>
      <c r="AO33" s="41"/>
      <c r="AP33" s="1"/>
    </row>
    <row r="34" spans="1:42">
      <c r="A34" s="4"/>
      <c r="B34" s="3"/>
      <c r="C34" s="3"/>
      <c r="D34" s="3"/>
      <c r="E34" s="3"/>
      <c r="F34" s="3"/>
      <c r="G34" s="140" t="s">
        <v>63</v>
      </c>
      <c r="H34" s="141"/>
      <c r="I34" s="1" t="s">
        <v>43</v>
      </c>
      <c r="J34" s="1">
        <v>9</v>
      </c>
      <c r="K34" s="1">
        <v>5</v>
      </c>
      <c r="L34" s="72">
        <f t="shared" ref="L34:L35" si="10">J34*K34</f>
        <v>45</v>
      </c>
      <c r="M34" s="19"/>
      <c r="N34" s="41">
        <v>472.03</v>
      </c>
      <c r="O34" s="41">
        <v>3.1419999999999999</v>
      </c>
      <c r="P34" s="41">
        <v>1</v>
      </c>
      <c r="Q34" s="54">
        <f>N34+O34+P34</f>
        <v>476.17199999999997</v>
      </c>
      <c r="R34" s="41">
        <v>474.83</v>
      </c>
      <c r="S34" s="41">
        <v>-0.34</v>
      </c>
      <c r="T34" s="11"/>
      <c r="U34" s="72">
        <v>3.79</v>
      </c>
      <c r="V34" s="72"/>
      <c r="W34" s="1">
        <v>480.64</v>
      </c>
      <c r="X34" s="1">
        <v>472.03</v>
      </c>
      <c r="Y34" s="1">
        <v>1</v>
      </c>
      <c r="Z34" s="1">
        <v>1</v>
      </c>
      <c r="AA34" s="1">
        <v>0.6</v>
      </c>
      <c r="AB34" s="2">
        <f>W34-X34-Y34-Z34-AA34</f>
        <v>6.010000000000014</v>
      </c>
      <c r="AC34" s="1"/>
      <c r="AD34" s="4"/>
      <c r="AE34" s="3"/>
      <c r="AF34" s="1" t="s">
        <v>46</v>
      </c>
      <c r="AG34" s="1">
        <v>50</v>
      </c>
      <c r="AH34" s="19"/>
      <c r="AI34" s="39">
        <f>Q34</f>
        <v>476.17199999999997</v>
      </c>
      <c r="AJ34" s="41"/>
      <c r="AK34" s="39">
        <f>AB34</f>
        <v>6.010000000000014</v>
      </c>
      <c r="AL34" s="41">
        <v>-0.01</v>
      </c>
      <c r="AM34" s="41"/>
      <c r="AN34" s="41">
        <v>2.68</v>
      </c>
      <c r="AO34" s="41"/>
      <c r="AP34" s="1"/>
    </row>
    <row r="35" spans="1:42">
      <c r="A35" s="4"/>
      <c r="B35" s="3"/>
      <c r="C35" s="3"/>
      <c r="D35" s="3"/>
      <c r="E35" s="3"/>
      <c r="F35" s="3"/>
      <c r="G35" s="140" t="s">
        <v>224</v>
      </c>
      <c r="H35" s="141"/>
      <c r="I35" s="1" t="s">
        <v>76</v>
      </c>
      <c r="J35" s="1">
        <v>6</v>
      </c>
      <c r="K35" s="1">
        <v>4</v>
      </c>
      <c r="L35" s="72">
        <f t="shared" si="10"/>
        <v>24</v>
      </c>
      <c r="M35" s="19">
        <f>(L35-$L$34)*100/$L$34</f>
        <v>-46.666666666666664</v>
      </c>
      <c r="N35" s="41"/>
      <c r="O35" s="41"/>
      <c r="P35" s="41"/>
      <c r="Q35" s="41"/>
      <c r="R35" s="41">
        <v>475.47</v>
      </c>
      <c r="S35" s="41">
        <v>0.3</v>
      </c>
      <c r="T35" s="11"/>
      <c r="U35" s="72">
        <v>5.68</v>
      </c>
      <c r="V35" s="79">
        <f>(U35-$U$34)*100/$U$34</f>
        <v>49.86807387862796</v>
      </c>
      <c r="W35" s="2"/>
      <c r="X35" s="2"/>
      <c r="Y35" s="2"/>
      <c r="Z35" s="2"/>
      <c r="AA35" s="2"/>
      <c r="AB35" s="2"/>
      <c r="AC35" s="2"/>
      <c r="AD35" s="4"/>
      <c r="AE35" s="3"/>
      <c r="AF35" s="1" t="s">
        <v>159</v>
      </c>
      <c r="AG35" s="1">
        <v>45</v>
      </c>
      <c r="AH35" s="19">
        <f>(AG35-$AG$34)*100/$AG$34</f>
        <v>-10</v>
      </c>
      <c r="AI35" s="41"/>
      <c r="AJ35" s="41">
        <v>475.4</v>
      </c>
      <c r="AK35" s="41"/>
      <c r="AL35" s="41">
        <v>0.23</v>
      </c>
      <c r="AM35" s="41"/>
      <c r="AN35" s="41">
        <v>3.18</v>
      </c>
      <c r="AO35" s="39">
        <f>(AN35-$AN$34)*100/$AN$34</f>
        <v>18.656716417910445</v>
      </c>
      <c r="AP35" s="1"/>
    </row>
    <row r="36" spans="1:42">
      <c r="A36" s="4"/>
      <c r="B36" s="3"/>
      <c r="C36" s="3"/>
      <c r="D36" s="3"/>
      <c r="E36" s="3"/>
      <c r="F36" s="3"/>
      <c r="G36" s="142" t="s">
        <v>126</v>
      </c>
      <c r="H36" s="143"/>
      <c r="I36" s="86" t="s">
        <v>136</v>
      </c>
      <c r="J36" s="86">
        <v>5</v>
      </c>
      <c r="K36" s="86">
        <v>4</v>
      </c>
      <c r="L36" s="87">
        <f>J36*K36</f>
        <v>20</v>
      </c>
      <c r="M36" s="83">
        <f>(L36-$L$34)*100/$L$34</f>
        <v>-55.555555555555557</v>
      </c>
      <c r="N36" s="84"/>
      <c r="O36" s="84"/>
      <c r="P36" s="84"/>
      <c r="Q36" s="84"/>
      <c r="R36" s="84">
        <v>475.91</v>
      </c>
      <c r="S36" s="84">
        <v>0.74</v>
      </c>
      <c r="T36" s="11"/>
      <c r="U36" s="72">
        <v>6.82</v>
      </c>
      <c r="V36" s="79">
        <f>(U36-$U$34)*100/$U$34</f>
        <v>79.947229551451187</v>
      </c>
      <c r="W36" s="2"/>
      <c r="X36" s="2"/>
      <c r="Y36" s="2"/>
      <c r="Z36" s="2"/>
      <c r="AA36" s="2"/>
      <c r="AB36" s="2"/>
      <c r="AC36" s="2"/>
      <c r="AD36" s="4"/>
      <c r="AE36" s="3"/>
      <c r="AF36" s="86" t="s">
        <v>160</v>
      </c>
      <c r="AG36" s="86">
        <v>34</v>
      </c>
      <c r="AH36" s="83">
        <f t="shared" ref="AH36:AH37" si="11">(AG36-$AG$34)*100/$AG$34</f>
        <v>-32</v>
      </c>
      <c r="AI36" s="84"/>
      <c r="AJ36" s="84">
        <v>475.88</v>
      </c>
      <c r="AK36" s="84"/>
      <c r="AL36" s="84">
        <v>0.71</v>
      </c>
      <c r="AM36" s="84"/>
      <c r="AN36" s="84">
        <v>3.87</v>
      </c>
      <c r="AO36" s="85">
        <f>(AN36-$AN$34)*100/$AN$34</f>
        <v>44.402985074626862</v>
      </c>
      <c r="AP36" s="1"/>
    </row>
    <row r="37" spans="1:42">
      <c r="A37" s="4"/>
      <c r="B37" s="3"/>
      <c r="C37" s="3"/>
      <c r="D37" s="3"/>
      <c r="E37" s="3"/>
      <c r="F37" s="3"/>
      <c r="G37" s="146" t="s">
        <v>128</v>
      </c>
      <c r="H37" s="147"/>
      <c r="I37" s="15" t="s">
        <v>137</v>
      </c>
      <c r="J37" s="15"/>
      <c r="K37" s="15"/>
      <c r="L37" s="73"/>
      <c r="M37" s="48"/>
      <c r="N37" s="49"/>
      <c r="O37" s="49"/>
      <c r="P37" s="49"/>
      <c r="Q37" s="49"/>
      <c r="R37" s="49">
        <v>476.57</v>
      </c>
      <c r="S37" s="49">
        <v>1.4</v>
      </c>
      <c r="T37" s="15"/>
      <c r="U37" s="73">
        <v>8.5299999999999994</v>
      </c>
      <c r="V37" s="69">
        <f t="shared" ref="V37:V39" si="12">(U37-$U$34)*100/$U$34</f>
        <v>125.065963060686</v>
      </c>
      <c r="W37" s="47"/>
      <c r="X37" s="47"/>
      <c r="Y37" s="47"/>
      <c r="Z37" s="47"/>
      <c r="AA37" s="47"/>
      <c r="AB37" s="47"/>
      <c r="AC37" s="47" t="s">
        <v>109</v>
      </c>
      <c r="AD37" s="4"/>
      <c r="AE37" s="3"/>
      <c r="AF37" s="15" t="s">
        <v>161</v>
      </c>
      <c r="AG37" s="15">
        <v>26.5</v>
      </c>
      <c r="AH37" s="48">
        <f t="shared" si="11"/>
        <v>-47</v>
      </c>
      <c r="AI37" s="49"/>
      <c r="AJ37" s="49">
        <v>476.75</v>
      </c>
      <c r="AK37" s="49"/>
      <c r="AL37" s="49">
        <v>1.58</v>
      </c>
      <c r="AM37" s="49"/>
      <c r="AN37" s="49">
        <v>4.46</v>
      </c>
      <c r="AO37" s="50">
        <f>(AN37-$AN$34)*100/$AN$34</f>
        <v>66.417910447761173</v>
      </c>
      <c r="AP37" s="47" t="s">
        <v>109</v>
      </c>
    </row>
    <row r="38" spans="1:42">
      <c r="A38" s="4"/>
      <c r="B38" s="3"/>
      <c r="C38" s="3"/>
      <c r="D38" s="3"/>
      <c r="E38" s="3"/>
      <c r="F38" s="3"/>
      <c r="G38" s="146" t="s">
        <v>130</v>
      </c>
      <c r="H38" s="147"/>
      <c r="I38" s="15" t="s">
        <v>115</v>
      </c>
      <c r="J38" s="15"/>
      <c r="K38" s="15"/>
      <c r="L38" s="73"/>
      <c r="M38" s="48"/>
      <c r="N38" s="49"/>
      <c r="O38" s="49"/>
      <c r="P38" s="49"/>
      <c r="Q38" s="49"/>
      <c r="R38" s="49">
        <v>476.78</v>
      </c>
      <c r="S38" s="49">
        <v>1.61</v>
      </c>
      <c r="T38" s="15"/>
      <c r="U38" s="73">
        <v>8.26</v>
      </c>
      <c r="V38" s="69">
        <f t="shared" si="12"/>
        <v>117.94195250659631</v>
      </c>
      <c r="W38" s="47"/>
      <c r="X38" s="47"/>
      <c r="Y38" s="47"/>
      <c r="Z38" s="47"/>
      <c r="AA38" s="47"/>
      <c r="AB38" s="47"/>
      <c r="AC38" s="47" t="s">
        <v>109</v>
      </c>
      <c r="AD38" s="4"/>
      <c r="AE38" s="3"/>
      <c r="AF38" s="1"/>
      <c r="AG38" s="1"/>
      <c r="AH38" s="19"/>
      <c r="AI38" s="41"/>
      <c r="AJ38" s="41"/>
      <c r="AK38" s="41"/>
      <c r="AL38" s="41"/>
      <c r="AM38" s="41"/>
      <c r="AN38" s="41"/>
      <c r="AO38" s="39"/>
      <c r="AP38" s="1"/>
    </row>
    <row r="39" spans="1:42">
      <c r="A39" s="4"/>
      <c r="B39" s="3"/>
      <c r="C39" s="3"/>
      <c r="D39" s="3"/>
      <c r="E39" s="3"/>
      <c r="F39" s="3"/>
      <c r="G39" s="140" t="s">
        <v>131</v>
      </c>
      <c r="H39" s="141"/>
      <c r="I39" s="11" t="s">
        <v>138</v>
      </c>
      <c r="J39" s="11">
        <v>6</v>
      </c>
      <c r="K39" s="11">
        <v>6</v>
      </c>
      <c r="L39" s="75">
        <f>(3.14/4)*J39*K39</f>
        <v>28.259999999999998</v>
      </c>
      <c r="M39" s="19">
        <f>(L39-$L$34)*100/$L$34</f>
        <v>-37.200000000000003</v>
      </c>
      <c r="N39" s="60"/>
      <c r="O39" s="60"/>
      <c r="P39" s="60"/>
      <c r="Q39" s="60"/>
      <c r="R39" s="60">
        <v>476.09</v>
      </c>
      <c r="S39" s="60">
        <v>0.92</v>
      </c>
      <c r="T39" s="11"/>
      <c r="U39" s="78">
        <v>8.5299999999999994</v>
      </c>
      <c r="V39" s="79">
        <f t="shared" si="12"/>
        <v>125.065963060686</v>
      </c>
      <c r="W39" s="5"/>
      <c r="X39" s="5"/>
      <c r="Y39" s="5"/>
      <c r="Z39" s="5"/>
      <c r="AA39" s="5"/>
      <c r="AB39" s="5"/>
      <c r="AC39" s="5"/>
      <c r="AD39" s="4"/>
      <c r="AE39" s="3"/>
      <c r="AF39" s="1"/>
      <c r="AG39" s="1"/>
      <c r="AH39" s="19"/>
      <c r="AI39" s="41"/>
      <c r="AJ39" s="41"/>
      <c r="AK39" s="41"/>
      <c r="AL39" s="41"/>
      <c r="AM39" s="41"/>
      <c r="AN39" s="41"/>
      <c r="AO39" s="39"/>
      <c r="AP39" s="1"/>
    </row>
    <row r="40" spans="1:42" s="12" customForma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74"/>
      <c r="M40" s="21"/>
      <c r="N40" s="21"/>
      <c r="O40" s="21"/>
      <c r="P40" s="21"/>
      <c r="Q40" s="21"/>
      <c r="R40" s="21"/>
      <c r="S40" s="10"/>
      <c r="T40" s="10"/>
      <c r="U40" s="74"/>
      <c r="V40" s="74"/>
      <c r="W40" s="10"/>
      <c r="X40" s="10"/>
      <c r="Y40" s="10"/>
      <c r="Z40" s="10"/>
      <c r="AA40" s="10"/>
      <c r="AB40" s="10"/>
      <c r="AC40" s="10"/>
      <c r="AD40" s="9"/>
      <c r="AE40" s="10"/>
      <c r="AF40" s="10"/>
      <c r="AG40" s="10"/>
      <c r="AH40" s="21"/>
      <c r="AI40" s="40"/>
      <c r="AJ40" s="40"/>
      <c r="AK40" s="40"/>
      <c r="AL40" s="40"/>
      <c r="AM40" s="40"/>
      <c r="AN40" s="40"/>
      <c r="AO40" s="40"/>
      <c r="AP40" s="10"/>
    </row>
    <row r="41" spans="1:42">
      <c r="A41" s="3">
        <v>6</v>
      </c>
      <c r="B41" s="4" t="s">
        <v>18</v>
      </c>
      <c r="C41" s="4">
        <f>650*H41</f>
        <v>490.75</v>
      </c>
      <c r="D41" s="4" t="s">
        <v>141</v>
      </c>
      <c r="E41" s="3">
        <v>0</v>
      </c>
      <c r="F41" s="3">
        <v>1</v>
      </c>
      <c r="G41" s="3"/>
      <c r="H41" s="3">
        <v>0.755</v>
      </c>
      <c r="I41" s="1" t="s">
        <v>47</v>
      </c>
      <c r="J41" s="1">
        <v>18</v>
      </c>
      <c r="K41" s="1">
        <v>8</v>
      </c>
      <c r="L41" s="72">
        <f>J41*K41</f>
        <v>144</v>
      </c>
      <c r="M41" s="19"/>
      <c r="N41" s="19"/>
      <c r="O41" s="19"/>
      <c r="P41" s="19"/>
      <c r="Q41" s="19"/>
      <c r="R41" s="19"/>
      <c r="S41" s="1">
        <v>0.06</v>
      </c>
      <c r="T41" s="11"/>
      <c r="U41" s="72">
        <v>5.5640000000000001</v>
      </c>
      <c r="V41" s="72"/>
      <c r="W41" s="1"/>
      <c r="X41" s="1"/>
      <c r="Y41" s="1"/>
      <c r="Z41" s="1"/>
      <c r="AA41" s="1"/>
      <c r="AB41" s="1"/>
      <c r="AC41" s="1"/>
      <c r="AD41" s="3">
        <v>6</v>
      </c>
      <c r="AE41" s="4" t="s">
        <v>18</v>
      </c>
      <c r="AF41" s="1"/>
      <c r="AG41" s="1"/>
      <c r="AH41" s="19"/>
      <c r="AI41" s="41"/>
      <c r="AJ41" s="41"/>
      <c r="AK41" s="41"/>
      <c r="AL41" s="41"/>
      <c r="AM41" s="41"/>
      <c r="AN41" s="41"/>
      <c r="AO41" s="41"/>
      <c r="AP41" s="1"/>
    </row>
    <row r="42" spans="1:42">
      <c r="A42" s="3"/>
      <c r="B42" s="4"/>
      <c r="C42" s="4"/>
      <c r="D42" s="4"/>
      <c r="E42" s="3"/>
      <c r="F42" s="3"/>
      <c r="G42" s="146" t="s">
        <v>56</v>
      </c>
      <c r="H42" s="147"/>
      <c r="I42" s="15" t="s">
        <v>47</v>
      </c>
      <c r="J42" s="15">
        <v>18</v>
      </c>
      <c r="K42" s="15">
        <v>8</v>
      </c>
      <c r="L42" s="73">
        <f>J42*K42</f>
        <v>144</v>
      </c>
      <c r="M42" s="48"/>
      <c r="N42" s="49">
        <v>443.84</v>
      </c>
      <c r="O42" s="49">
        <v>5.9210000000000003</v>
      </c>
      <c r="P42" s="49">
        <v>0.13</v>
      </c>
      <c r="Q42" s="50">
        <f>N42+O42+P42</f>
        <v>449.89099999999996</v>
      </c>
      <c r="R42" s="49">
        <v>449.45</v>
      </c>
      <c r="S42" s="15">
        <v>-0.31</v>
      </c>
      <c r="T42" s="15"/>
      <c r="U42" s="73">
        <v>5.5640000000000001</v>
      </c>
      <c r="V42" s="73"/>
      <c r="W42" s="49">
        <v>452</v>
      </c>
      <c r="X42" s="49">
        <v>443.84</v>
      </c>
      <c r="Y42" s="49">
        <v>1</v>
      </c>
      <c r="Z42" s="49">
        <v>1</v>
      </c>
      <c r="AA42" s="49">
        <v>0.6</v>
      </c>
      <c r="AB42" s="47">
        <f>W42-X42-Y42-Z42-AA42</f>
        <v>5.5600000000000254</v>
      </c>
      <c r="AC42" s="15" t="s">
        <v>139</v>
      </c>
      <c r="AD42" s="3"/>
      <c r="AE42" s="4"/>
      <c r="AF42" s="1"/>
      <c r="AG42" s="1"/>
      <c r="AH42" s="19"/>
      <c r="AI42" s="41"/>
      <c r="AJ42" s="41"/>
      <c r="AK42" s="41"/>
      <c r="AL42" s="41"/>
      <c r="AM42" s="41"/>
      <c r="AN42" s="41"/>
      <c r="AO42" s="41"/>
      <c r="AP42" s="1"/>
    </row>
    <row r="43" spans="1:42">
      <c r="A43" s="3"/>
      <c r="B43" s="4"/>
      <c r="C43" s="4"/>
      <c r="D43" s="4"/>
      <c r="E43" s="3"/>
      <c r="F43" s="3"/>
      <c r="G43" s="146" t="s">
        <v>224</v>
      </c>
      <c r="H43" s="147"/>
      <c r="I43" s="15" t="s">
        <v>62</v>
      </c>
      <c r="J43" s="15">
        <v>14</v>
      </c>
      <c r="K43" s="15">
        <v>8</v>
      </c>
      <c r="L43" s="73">
        <f>J43*K43</f>
        <v>112</v>
      </c>
      <c r="M43" s="48">
        <f>(L43-$L$42)*100/$L$42</f>
        <v>-22.222222222222221</v>
      </c>
      <c r="N43" s="49">
        <v>443.84</v>
      </c>
      <c r="O43" s="49">
        <v>5.9210000000000003</v>
      </c>
      <c r="P43" s="49">
        <v>1</v>
      </c>
      <c r="Q43" s="50">
        <f>N43+O43+P43</f>
        <v>450.76099999999997</v>
      </c>
      <c r="R43" s="49">
        <v>449.95</v>
      </c>
      <c r="S43" s="15">
        <v>0.19</v>
      </c>
      <c r="T43" s="15"/>
      <c r="U43" s="73">
        <v>7.15</v>
      </c>
      <c r="V43" s="69">
        <f>(U43-$U$42)*100/$U$42</f>
        <v>28.504672897196265</v>
      </c>
      <c r="W43" s="50"/>
      <c r="X43" s="50"/>
      <c r="Y43" s="50"/>
      <c r="Z43" s="50"/>
      <c r="AA43" s="50"/>
      <c r="AB43" s="50"/>
      <c r="AC43" s="15" t="s">
        <v>139</v>
      </c>
      <c r="AD43" s="3"/>
      <c r="AE43" s="4"/>
      <c r="AF43" s="1"/>
      <c r="AG43" s="1"/>
      <c r="AH43" s="19"/>
      <c r="AI43" s="41"/>
      <c r="AJ43" s="41"/>
      <c r="AK43" s="41"/>
      <c r="AL43" s="41"/>
      <c r="AM43" s="41"/>
      <c r="AN43" s="41"/>
      <c r="AO43" s="41"/>
      <c r="AP43" s="1"/>
    </row>
    <row r="44" spans="1:42">
      <c r="A44" s="3"/>
      <c r="B44" s="4"/>
      <c r="C44" s="4"/>
      <c r="D44" s="4"/>
      <c r="E44" s="3"/>
      <c r="F44" s="3"/>
      <c r="G44" s="142" t="s">
        <v>126</v>
      </c>
      <c r="H44" s="143"/>
      <c r="I44" s="86" t="s">
        <v>142</v>
      </c>
      <c r="J44" s="86">
        <v>12</v>
      </c>
      <c r="K44" s="86">
        <v>6</v>
      </c>
      <c r="L44" s="87">
        <f>J44*K44</f>
        <v>72</v>
      </c>
      <c r="M44" s="83">
        <f t="shared" ref="M44:M45" si="13">(L44-$L$42)*100/$L$42</f>
        <v>-50</v>
      </c>
      <c r="N44" s="84"/>
      <c r="O44" s="84"/>
      <c r="P44" s="84"/>
      <c r="Q44" s="84"/>
      <c r="R44" s="84">
        <v>450.54</v>
      </c>
      <c r="S44" s="86">
        <v>0.78</v>
      </c>
      <c r="T44" s="11"/>
      <c r="U44" s="72">
        <v>15.67</v>
      </c>
      <c r="V44" s="68">
        <f>(U44-$U$42)*100/$U$42</f>
        <v>181.63191948238676</v>
      </c>
      <c r="W44" s="39"/>
      <c r="X44" s="39"/>
      <c r="Y44" s="39"/>
      <c r="Z44" s="39"/>
      <c r="AA44" s="39"/>
      <c r="AB44" s="39"/>
      <c r="AC44" s="2"/>
      <c r="AD44" s="3"/>
      <c r="AE44" s="4"/>
      <c r="AF44" s="1"/>
      <c r="AG44" s="1"/>
      <c r="AH44" s="19"/>
      <c r="AI44" s="41"/>
      <c r="AJ44" s="41"/>
      <c r="AK44" s="41"/>
      <c r="AL44" s="41"/>
      <c r="AM44" s="41"/>
      <c r="AN44" s="41"/>
      <c r="AO44" s="41"/>
      <c r="AP44" s="1"/>
    </row>
    <row r="45" spans="1:42">
      <c r="A45" s="3"/>
      <c r="B45" s="4"/>
      <c r="C45" s="4"/>
      <c r="D45" s="4"/>
      <c r="E45" s="3"/>
      <c r="F45" s="3"/>
      <c r="G45" s="146" t="s">
        <v>128</v>
      </c>
      <c r="H45" s="147"/>
      <c r="I45" s="15" t="s">
        <v>143</v>
      </c>
      <c r="J45" s="15">
        <v>11</v>
      </c>
      <c r="K45" s="15">
        <v>6</v>
      </c>
      <c r="L45" s="73">
        <f>J45*K45</f>
        <v>66</v>
      </c>
      <c r="M45" s="48">
        <f t="shared" si="13"/>
        <v>-54.166666666666664</v>
      </c>
      <c r="N45" s="49"/>
      <c r="O45" s="49"/>
      <c r="P45" s="49"/>
      <c r="Q45" s="49"/>
      <c r="R45" s="49">
        <v>451.03</v>
      </c>
      <c r="S45" s="15">
        <v>1.27</v>
      </c>
      <c r="T45" s="15"/>
      <c r="U45" s="73"/>
      <c r="V45" s="69"/>
      <c r="W45" s="50"/>
      <c r="X45" s="50"/>
      <c r="Y45" s="50"/>
      <c r="Z45" s="50"/>
      <c r="AA45" s="50"/>
      <c r="AB45" s="50"/>
      <c r="AC45" s="47" t="s">
        <v>109</v>
      </c>
      <c r="AD45" s="3"/>
      <c r="AE45" s="4"/>
      <c r="AF45" s="1"/>
      <c r="AG45" s="1"/>
      <c r="AH45" s="19"/>
      <c r="AI45" s="41"/>
      <c r="AJ45" s="41"/>
      <c r="AK45" s="41"/>
      <c r="AL45" s="41"/>
      <c r="AM45" s="41"/>
      <c r="AN45" s="41"/>
      <c r="AO45" s="41"/>
      <c r="AP45" s="1"/>
    </row>
    <row r="46" spans="1:42" s="12" customFormat="1">
      <c r="A46" s="10"/>
      <c r="B46" s="9"/>
      <c r="C46" s="9"/>
      <c r="D46" s="9"/>
      <c r="E46" s="10"/>
      <c r="F46" s="10"/>
      <c r="G46" s="10"/>
      <c r="H46" s="10"/>
      <c r="I46" s="10"/>
      <c r="J46" s="10"/>
      <c r="K46" s="10"/>
      <c r="L46" s="74"/>
      <c r="M46" s="21"/>
      <c r="N46" s="21"/>
      <c r="O46" s="21"/>
      <c r="P46" s="21"/>
      <c r="Q46" s="21"/>
      <c r="R46" s="21"/>
      <c r="S46" s="10"/>
      <c r="T46" s="10"/>
      <c r="U46" s="74"/>
      <c r="V46" s="74"/>
      <c r="W46" s="10"/>
      <c r="X46" s="10"/>
      <c r="Y46" s="10"/>
      <c r="Z46" s="10"/>
      <c r="AA46" s="10"/>
      <c r="AB46" s="10"/>
      <c r="AC46" s="10"/>
      <c r="AD46" s="10"/>
      <c r="AE46" s="9"/>
      <c r="AF46" s="10"/>
      <c r="AG46" s="10"/>
      <c r="AH46" s="21"/>
      <c r="AI46" s="40"/>
      <c r="AJ46" s="40"/>
      <c r="AK46" s="40"/>
      <c r="AL46" s="40"/>
      <c r="AM46" s="40"/>
      <c r="AN46" s="40"/>
      <c r="AO46" s="40"/>
      <c r="AP46" s="10"/>
    </row>
    <row r="47" spans="1:42">
      <c r="A47" s="4">
        <v>7</v>
      </c>
      <c r="B47" s="4" t="s">
        <v>19</v>
      </c>
      <c r="C47" s="3">
        <v>35.9</v>
      </c>
      <c r="D47" s="3"/>
      <c r="E47" s="3">
        <v>0</v>
      </c>
      <c r="F47" s="3">
        <v>1</v>
      </c>
      <c r="G47" s="3"/>
      <c r="H47" s="3"/>
      <c r="I47" s="1" t="s">
        <v>48</v>
      </c>
      <c r="J47" s="1">
        <v>9</v>
      </c>
      <c r="K47" s="1">
        <v>4</v>
      </c>
      <c r="L47" s="72">
        <f>J47*K47</f>
        <v>36</v>
      </c>
      <c r="M47" s="19"/>
      <c r="N47" s="19"/>
      <c r="O47" s="19"/>
      <c r="P47" s="19"/>
      <c r="Q47" s="19"/>
      <c r="R47" s="19"/>
      <c r="S47" s="1">
        <v>0.11</v>
      </c>
      <c r="T47" s="11"/>
      <c r="U47" s="72">
        <v>6.29</v>
      </c>
      <c r="V47" s="72"/>
      <c r="W47" s="1"/>
      <c r="X47" s="1"/>
      <c r="Y47" s="1"/>
      <c r="Z47" s="1"/>
      <c r="AA47" s="1"/>
      <c r="AB47" s="1"/>
      <c r="AC47" s="1"/>
      <c r="AD47" s="4">
        <v>7</v>
      </c>
      <c r="AE47" s="4" t="s">
        <v>19</v>
      </c>
      <c r="AF47" s="1" t="s">
        <v>49</v>
      </c>
      <c r="AG47" s="1">
        <v>85.2</v>
      </c>
      <c r="AH47" s="19"/>
      <c r="AI47" s="41"/>
      <c r="AJ47" s="41"/>
      <c r="AK47" s="41"/>
      <c r="AL47" s="41">
        <v>0.13</v>
      </c>
      <c r="AM47" s="41"/>
      <c r="AN47" s="41">
        <v>3.16</v>
      </c>
      <c r="AO47" s="41" t="s">
        <v>50</v>
      </c>
      <c r="AP47" s="1"/>
    </row>
    <row r="48" spans="1:42">
      <c r="A48" s="4"/>
      <c r="B48" s="4"/>
      <c r="C48" s="3"/>
      <c r="D48" s="3"/>
      <c r="E48" s="3"/>
      <c r="F48" s="3"/>
      <c r="G48" s="140" t="s">
        <v>56</v>
      </c>
      <c r="H48" s="141"/>
      <c r="I48" s="1" t="s">
        <v>54</v>
      </c>
      <c r="J48" s="1">
        <v>9</v>
      </c>
      <c r="K48" s="1">
        <v>4</v>
      </c>
      <c r="L48" s="72">
        <f t="shared" ref="L48:L51" si="14">J48*K48</f>
        <v>36</v>
      </c>
      <c r="M48" s="19"/>
      <c r="N48" s="41">
        <v>479.28</v>
      </c>
      <c r="O48" s="41">
        <v>1.401</v>
      </c>
      <c r="P48" s="41">
        <v>0.13</v>
      </c>
      <c r="Q48" s="61">
        <f>N48+O48+P48</f>
        <v>480.81099999999998</v>
      </c>
      <c r="R48" s="41">
        <v>480.93</v>
      </c>
      <c r="S48" s="41">
        <v>0.25</v>
      </c>
      <c r="T48" s="11"/>
      <c r="U48" s="72">
        <v>12.55</v>
      </c>
      <c r="V48" s="72"/>
      <c r="W48" s="1">
        <v>493.96</v>
      </c>
      <c r="X48" s="41">
        <v>479.28</v>
      </c>
      <c r="Y48" s="41">
        <v>1</v>
      </c>
      <c r="Z48" s="41">
        <v>1</v>
      </c>
      <c r="AA48" s="41">
        <v>0.6</v>
      </c>
      <c r="AB48" s="41">
        <f>W48-X48-Y48-Z48-AA48</f>
        <v>12.080000000000007</v>
      </c>
      <c r="AC48" s="1"/>
      <c r="AD48" s="4"/>
      <c r="AE48" s="4"/>
      <c r="AF48" s="1" t="s">
        <v>49</v>
      </c>
      <c r="AG48" s="1">
        <v>85.2</v>
      </c>
      <c r="AH48" s="19"/>
      <c r="AI48" s="39">
        <f>Q48</f>
        <v>480.81099999999998</v>
      </c>
      <c r="AJ48" s="41"/>
      <c r="AK48" s="39">
        <f>AB48</f>
        <v>12.080000000000007</v>
      </c>
      <c r="AL48" s="41">
        <v>0.26</v>
      </c>
      <c r="AM48" s="41"/>
      <c r="AN48" s="41">
        <v>6.03</v>
      </c>
      <c r="AO48" s="41"/>
      <c r="AP48" s="1"/>
    </row>
    <row r="49" spans="1:42">
      <c r="A49" s="4"/>
      <c r="B49" s="4"/>
      <c r="C49" s="3"/>
      <c r="D49" s="3"/>
      <c r="E49" s="3"/>
      <c r="F49" s="3"/>
      <c r="G49" s="140" t="s">
        <v>225</v>
      </c>
      <c r="H49" s="141"/>
      <c r="I49" s="1" t="s">
        <v>55</v>
      </c>
      <c r="J49" s="1">
        <v>7</v>
      </c>
      <c r="K49" s="1">
        <v>4</v>
      </c>
      <c r="L49" s="72">
        <f t="shared" si="14"/>
        <v>28</v>
      </c>
      <c r="M49" s="19">
        <f>(L49-$L$48)*100/$L$48</f>
        <v>-22.222222222222221</v>
      </c>
      <c r="N49" s="41">
        <v>480.28</v>
      </c>
      <c r="O49" s="41">
        <v>1.401</v>
      </c>
      <c r="P49" s="41">
        <v>1</v>
      </c>
      <c r="Q49" s="61">
        <f>N49+O49+P49</f>
        <v>482.68099999999998</v>
      </c>
      <c r="R49" s="41">
        <v>482.23</v>
      </c>
      <c r="S49" s="41">
        <v>0.45</v>
      </c>
      <c r="T49" s="11"/>
      <c r="U49" s="72">
        <v>13.56</v>
      </c>
      <c r="V49" s="79">
        <f>(U49-$U$48)*100/$U$48</f>
        <v>8.0478087649402354</v>
      </c>
      <c r="W49" s="2"/>
      <c r="X49" s="2"/>
      <c r="Y49" s="2"/>
      <c r="Z49" s="2"/>
      <c r="AA49" s="2"/>
      <c r="AB49" s="2"/>
      <c r="AC49" s="2"/>
      <c r="AD49" s="4"/>
      <c r="AE49" s="4"/>
      <c r="AF49" s="1" t="s">
        <v>58</v>
      </c>
      <c r="AG49" s="1">
        <v>54.51</v>
      </c>
      <c r="AH49" s="19">
        <f>(AG49-$AG$48)*100/$AG$48</f>
        <v>-36.021126760563384</v>
      </c>
      <c r="AI49" s="39">
        <f>Q49</f>
        <v>482.68099999999998</v>
      </c>
      <c r="AJ49" s="41">
        <v>482.17</v>
      </c>
      <c r="AK49" s="1"/>
      <c r="AL49" s="41">
        <v>0.49</v>
      </c>
      <c r="AM49" s="41"/>
      <c r="AN49" s="41">
        <v>6.03</v>
      </c>
      <c r="AO49" s="39">
        <f>(AN49-$AN$48)*100/$AN$48</f>
        <v>0</v>
      </c>
      <c r="AP49" s="1"/>
    </row>
    <row r="50" spans="1:42">
      <c r="A50" s="4"/>
      <c r="B50" s="4"/>
      <c r="C50" s="3"/>
      <c r="D50" s="3"/>
      <c r="E50" s="3"/>
      <c r="F50" s="3"/>
      <c r="G50" s="142" t="s">
        <v>126</v>
      </c>
      <c r="H50" s="143"/>
      <c r="I50" s="86" t="s">
        <v>144</v>
      </c>
      <c r="J50" s="86">
        <v>6</v>
      </c>
      <c r="K50" s="86">
        <v>4</v>
      </c>
      <c r="L50" s="87">
        <f t="shared" si="14"/>
        <v>24</v>
      </c>
      <c r="M50" s="83">
        <f t="shared" ref="M50" si="15">(L50-$L$48)*100/$L$48</f>
        <v>-33.333333333333336</v>
      </c>
      <c r="N50" s="84"/>
      <c r="O50" s="84"/>
      <c r="P50" s="84"/>
      <c r="Q50" s="84"/>
      <c r="R50" s="84">
        <v>482.41</v>
      </c>
      <c r="S50" s="84">
        <v>0.73</v>
      </c>
      <c r="T50" s="11"/>
      <c r="U50" s="72">
        <v>12.74</v>
      </c>
      <c r="V50" s="79">
        <f>(U50-$U$48)*100/$U$48</f>
        <v>1.5139442231075657</v>
      </c>
      <c r="W50" s="2"/>
      <c r="X50" s="2"/>
      <c r="Y50" s="2"/>
      <c r="Z50" s="2"/>
      <c r="AA50" s="2"/>
      <c r="AB50" s="2"/>
      <c r="AC50" s="2"/>
      <c r="AD50" s="4"/>
      <c r="AE50" s="4"/>
      <c r="AF50" s="1" t="s">
        <v>162</v>
      </c>
      <c r="AG50" s="1">
        <v>40.46</v>
      </c>
      <c r="AH50" s="19">
        <f t="shared" ref="AH50:AH52" si="16">(AG50-$AG$48)*100/$AG$48</f>
        <v>-52.511737089201873</v>
      </c>
      <c r="AI50" s="41"/>
      <c r="AJ50" s="41">
        <v>482.53</v>
      </c>
      <c r="AK50" s="1"/>
      <c r="AL50" s="41">
        <v>0.85</v>
      </c>
      <c r="AM50" s="41"/>
      <c r="AN50" s="41">
        <v>6.42</v>
      </c>
      <c r="AO50" s="39">
        <f t="shared" ref="AO50:AO52" si="17">(AN50-$AN$48)*100/$AN$48</f>
        <v>6.4676616915422835</v>
      </c>
      <c r="AP50" s="1"/>
    </row>
    <row r="51" spans="1:42">
      <c r="A51" s="4"/>
      <c r="B51" s="4"/>
      <c r="C51" s="3"/>
      <c r="D51" s="3"/>
      <c r="E51" s="3"/>
      <c r="F51" s="3"/>
      <c r="G51" s="146" t="s">
        <v>128</v>
      </c>
      <c r="H51" s="147"/>
      <c r="I51" s="15" t="s">
        <v>145</v>
      </c>
      <c r="J51" s="15">
        <v>5</v>
      </c>
      <c r="K51" s="15">
        <v>4</v>
      </c>
      <c r="L51" s="73">
        <f t="shared" si="14"/>
        <v>20</v>
      </c>
      <c r="M51" s="48">
        <f>(L51-$L$48)*100/$L$48</f>
        <v>-44.444444444444443</v>
      </c>
      <c r="N51" s="49"/>
      <c r="O51" s="49"/>
      <c r="P51" s="49"/>
      <c r="Q51" s="49"/>
      <c r="R51" s="49">
        <v>482.69</v>
      </c>
      <c r="S51" s="49">
        <v>1.01</v>
      </c>
      <c r="T51" s="15"/>
      <c r="U51" s="73">
        <v>13.19</v>
      </c>
      <c r="V51" s="69">
        <f t="shared" ref="V51" si="18">(U51-$U$48)*100/$U$48</f>
        <v>5.0996015936254881</v>
      </c>
      <c r="W51" s="47"/>
      <c r="X51" s="47"/>
      <c r="Y51" s="47"/>
      <c r="Z51" s="47"/>
      <c r="AA51" s="47"/>
      <c r="AB51" s="47"/>
      <c r="AC51" s="47" t="s">
        <v>109</v>
      </c>
      <c r="AD51" s="4"/>
      <c r="AE51" s="4"/>
      <c r="AF51" s="86" t="s">
        <v>163</v>
      </c>
      <c r="AG51" s="86">
        <v>35.39</v>
      </c>
      <c r="AH51" s="83">
        <f t="shared" si="16"/>
        <v>-58.462441314553992</v>
      </c>
      <c r="AI51" s="84"/>
      <c r="AJ51" s="84">
        <v>482.59</v>
      </c>
      <c r="AK51" s="86"/>
      <c r="AL51" s="84">
        <v>0.91</v>
      </c>
      <c r="AM51" s="84"/>
      <c r="AN51" s="84">
        <v>6.33</v>
      </c>
      <c r="AO51" s="85">
        <f t="shared" si="17"/>
        <v>4.9751243781094496</v>
      </c>
      <c r="AP51" s="1"/>
    </row>
    <row r="52" spans="1:42">
      <c r="A52" s="4"/>
      <c r="B52" s="4"/>
      <c r="C52" s="3"/>
      <c r="D52" s="3"/>
      <c r="E52" s="3"/>
      <c r="F52" s="3"/>
      <c r="G52" s="62"/>
      <c r="H52" s="63"/>
      <c r="I52" s="15"/>
      <c r="J52" s="15"/>
      <c r="K52" s="15"/>
      <c r="L52" s="73"/>
      <c r="M52" s="48"/>
      <c r="N52" s="49"/>
      <c r="O52" s="49"/>
      <c r="P52" s="49"/>
      <c r="Q52" s="49"/>
      <c r="R52" s="49"/>
      <c r="S52" s="49"/>
      <c r="T52" s="15"/>
      <c r="U52" s="73"/>
      <c r="V52" s="69"/>
      <c r="W52" s="47"/>
      <c r="X52" s="47"/>
      <c r="Y52" s="47"/>
      <c r="Z52" s="47"/>
      <c r="AA52" s="47"/>
      <c r="AB52" s="47"/>
      <c r="AC52" s="47"/>
      <c r="AD52" s="4"/>
      <c r="AE52" s="4"/>
      <c r="AF52" s="15" t="s">
        <v>164</v>
      </c>
      <c r="AG52" s="15">
        <v>26.16</v>
      </c>
      <c r="AH52" s="48">
        <f t="shared" si="16"/>
        <v>-69.295774647887328</v>
      </c>
      <c r="AI52" s="49"/>
      <c r="AJ52" s="49">
        <v>482.7</v>
      </c>
      <c r="AK52" s="15"/>
      <c r="AL52" s="49">
        <v>1.02</v>
      </c>
      <c r="AM52" s="49"/>
      <c r="AN52" s="49">
        <v>6.69</v>
      </c>
      <c r="AO52" s="50">
        <f t="shared" si="17"/>
        <v>10.945273631840799</v>
      </c>
      <c r="AP52" s="47" t="s">
        <v>109</v>
      </c>
    </row>
    <row r="53" spans="1:42" s="12" customFormat="1" ht="16.5" customHeight="1">
      <c r="A53" s="9"/>
      <c r="B53" s="9"/>
      <c r="C53" s="10"/>
      <c r="D53" s="10"/>
      <c r="E53" s="10"/>
      <c r="F53" s="10"/>
      <c r="G53" s="149"/>
      <c r="H53" s="150"/>
      <c r="I53" s="10"/>
      <c r="J53" s="10"/>
      <c r="K53" s="10"/>
      <c r="L53" s="74"/>
      <c r="M53" s="10"/>
      <c r="N53" s="10"/>
      <c r="O53" s="10"/>
      <c r="P53" s="10"/>
      <c r="Q53" s="10"/>
      <c r="R53" s="10"/>
      <c r="S53" s="10"/>
      <c r="T53" s="10"/>
      <c r="U53" s="74"/>
      <c r="V53" s="74"/>
      <c r="W53" s="10"/>
      <c r="X53" s="10"/>
      <c r="Y53" s="10"/>
      <c r="Z53" s="10"/>
      <c r="AA53" s="10"/>
      <c r="AB53" s="10"/>
      <c r="AC53" s="10"/>
      <c r="AD53" s="9"/>
      <c r="AE53" s="9"/>
      <c r="AF53" s="10"/>
      <c r="AG53" s="10"/>
      <c r="AH53" s="21"/>
      <c r="AI53" s="40"/>
      <c r="AJ53" s="40"/>
      <c r="AK53" s="40"/>
      <c r="AL53" s="40"/>
      <c r="AM53" s="40"/>
      <c r="AN53" s="40"/>
      <c r="AO53" s="40"/>
      <c r="AP53" s="10"/>
    </row>
    <row r="54" spans="1:42" ht="18" customHeight="1"/>
    <row r="55" spans="1:42">
      <c r="A55" s="1"/>
      <c r="B55" s="6" t="s">
        <v>30</v>
      </c>
      <c r="C55" s="151" t="s">
        <v>31</v>
      </c>
      <c r="D55" s="151"/>
      <c r="E55" s="15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1"/>
      <c r="U55" s="72"/>
      <c r="V55" s="72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41"/>
      <c r="AJ55" s="41"/>
      <c r="AK55" s="41"/>
      <c r="AL55" s="41"/>
      <c r="AM55" s="41"/>
      <c r="AN55" s="41"/>
      <c r="AO55" s="41"/>
      <c r="AP55" s="1"/>
    </row>
    <row r="56" spans="1:42">
      <c r="B56" s="43" t="s">
        <v>32</v>
      </c>
      <c r="C56" s="153" t="s">
        <v>33</v>
      </c>
      <c r="D56" s="154"/>
      <c r="E56" s="155"/>
    </row>
    <row r="57" spans="1:42">
      <c r="B57" s="7" t="s">
        <v>39</v>
      </c>
      <c r="C57" s="7" t="s">
        <v>40</v>
      </c>
      <c r="D57" s="7"/>
      <c r="E57" s="7"/>
    </row>
    <row r="58" spans="1:42">
      <c r="B58" s="7" t="s">
        <v>44</v>
      </c>
      <c r="C58" s="7" t="s">
        <v>45</v>
      </c>
      <c r="D58" s="7"/>
      <c r="E58" s="7"/>
    </row>
    <row r="59" spans="1:42">
      <c r="B59" s="7"/>
      <c r="C59" s="7"/>
      <c r="D59" s="7"/>
      <c r="E59" s="7"/>
    </row>
    <row r="62" spans="1:42">
      <c r="A62" t="s">
        <v>81</v>
      </c>
      <c r="B62" t="s">
        <v>82</v>
      </c>
      <c r="C62" t="s">
        <v>83</v>
      </c>
      <c r="E62" t="s">
        <v>84</v>
      </c>
      <c r="F62" t="s">
        <v>85</v>
      </c>
      <c r="G62" t="s">
        <v>87</v>
      </c>
      <c r="H62" t="s">
        <v>88</v>
      </c>
      <c r="I62" t="s">
        <v>89</v>
      </c>
    </row>
    <row r="63" spans="1:42">
      <c r="A63" s="4">
        <v>1</v>
      </c>
      <c r="B63" s="3" t="s">
        <v>6</v>
      </c>
      <c r="C63" s="11">
        <f>S6</f>
        <v>0.7</v>
      </c>
      <c r="D63" s="11"/>
      <c r="E63" s="59">
        <f>M6</f>
        <v>-42.857142857142854</v>
      </c>
      <c r="F63" s="88">
        <f>V6</f>
        <v>326.27118644067804</v>
      </c>
      <c r="G63" s="60">
        <f>AL6</f>
        <v>0.83</v>
      </c>
      <c r="H63" s="59">
        <f>AH6</f>
        <v>-40</v>
      </c>
      <c r="I63" s="60">
        <f>AO6</f>
        <v>58.333333333333336</v>
      </c>
    </row>
    <row r="64" spans="1:42">
      <c r="A64" s="4">
        <v>2</v>
      </c>
      <c r="B64" s="3" t="s">
        <v>9</v>
      </c>
      <c r="C64" s="60">
        <f>S15</f>
        <v>0.62</v>
      </c>
      <c r="D64" s="11"/>
      <c r="E64" s="59">
        <f>M15</f>
        <v>-42.857142857142854</v>
      </c>
      <c r="F64" s="88">
        <f>V15</f>
        <v>41.918294849023098</v>
      </c>
      <c r="G64" s="60">
        <f>AL15</f>
        <v>0.97</v>
      </c>
      <c r="H64" s="59">
        <f>AH15</f>
        <v>-61.53846153846154</v>
      </c>
      <c r="I64" s="60">
        <f>AO15</f>
        <v>50.645161290322569</v>
      </c>
    </row>
    <row r="65" spans="1:20">
      <c r="A65" s="3">
        <v>3</v>
      </c>
      <c r="B65" s="3" t="s">
        <v>10</v>
      </c>
      <c r="C65" s="11"/>
      <c r="D65" s="11"/>
      <c r="E65" s="11"/>
      <c r="F65" s="89"/>
      <c r="G65" s="60">
        <f>AL22</f>
        <v>0.79</v>
      </c>
      <c r="H65" s="59">
        <f>AH22</f>
        <v>-21.088435374149658</v>
      </c>
      <c r="I65" s="60">
        <f>AO22</f>
        <v>27.380952380952394</v>
      </c>
    </row>
    <row r="66" spans="1:20">
      <c r="A66" s="4">
        <v>4</v>
      </c>
      <c r="B66" s="3" t="s">
        <v>11</v>
      </c>
      <c r="C66" s="60">
        <f>S31</f>
        <v>0.98</v>
      </c>
      <c r="D66" s="11"/>
      <c r="E66" s="59">
        <f>M31</f>
        <v>-45.058365758754867</v>
      </c>
      <c r="F66" s="88">
        <f>V31</f>
        <v>9.7525473071324598</v>
      </c>
      <c r="G66" s="60">
        <f>AL29</f>
        <v>0.74</v>
      </c>
      <c r="H66" s="59">
        <f>AH29</f>
        <v>-50.828729281767956</v>
      </c>
      <c r="I66" s="60">
        <f>AO29</f>
        <v>41.543026706231437</v>
      </c>
    </row>
    <row r="67" spans="1:20">
      <c r="A67" s="4">
        <v>5</v>
      </c>
      <c r="B67" s="3" t="s">
        <v>12</v>
      </c>
      <c r="C67" s="60">
        <f>S36</f>
        <v>0.74</v>
      </c>
      <c r="D67" s="11"/>
      <c r="E67" s="59">
        <f>M36</f>
        <v>-55.555555555555557</v>
      </c>
      <c r="F67" s="88">
        <f>V36</f>
        <v>79.947229551451187</v>
      </c>
      <c r="G67" s="60">
        <f>AL36</f>
        <v>0.71</v>
      </c>
      <c r="H67" s="59">
        <f>AH36</f>
        <v>-32</v>
      </c>
      <c r="I67" s="60">
        <f>AO36</f>
        <v>44.402985074626862</v>
      </c>
    </row>
    <row r="68" spans="1:20">
      <c r="A68" s="3">
        <v>6</v>
      </c>
      <c r="B68" s="4" t="s">
        <v>18</v>
      </c>
      <c r="C68" s="11">
        <f>S44</f>
        <v>0.78</v>
      </c>
      <c r="D68" s="11"/>
      <c r="E68" s="59">
        <f>M44</f>
        <v>-50</v>
      </c>
      <c r="F68" s="88">
        <f>V44</f>
        <v>181.63191948238676</v>
      </c>
      <c r="G68" s="11"/>
      <c r="H68" s="11"/>
      <c r="I68" s="11"/>
    </row>
    <row r="69" spans="1:20">
      <c r="A69" s="4">
        <v>7</v>
      </c>
      <c r="B69" s="4" t="s">
        <v>19</v>
      </c>
      <c r="C69" s="60">
        <f>S50</f>
        <v>0.73</v>
      </c>
      <c r="D69" s="11"/>
      <c r="E69" s="59">
        <f>M50</f>
        <v>-33.333333333333336</v>
      </c>
      <c r="F69" s="88">
        <f>V50</f>
        <v>1.5139442231075657</v>
      </c>
      <c r="G69" s="60">
        <f>AL51</f>
        <v>0.91</v>
      </c>
      <c r="H69" s="59">
        <f>AH51</f>
        <v>-58.462441314553992</v>
      </c>
      <c r="I69" s="60">
        <f>AO51</f>
        <v>4.9751243781094496</v>
      </c>
    </row>
    <row r="72" spans="1:20" ht="15" customHeight="1">
      <c r="B72" s="152" t="s">
        <v>223</v>
      </c>
      <c r="C72" s="152"/>
      <c r="D72" s="152"/>
      <c r="E72" s="94"/>
    </row>
    <row r="73" spans="1:20" ht="15" customHeight="1">
      <c r="C73" s="156"/>
      <c r="D73" s="156"/>
      <c r="E73" s="156"/>
      <c r="F73" s="156"/>
      <c r="G73" s="148"/>
      <c r="H73" s="148"/>
      <c r="I73" s="148"/>
      <c r="J73" s="36"/>
      <c r="K73" s="36"/>
      <c r="L73" s="148"/>
      <c r="M73" s="148"/>
      <c r="N73" s="148"/>
      <c r="O73" s="148"/>
      <c r="P73" s="148"/>
      <c r="Q73" s="148"/>
      <c r="R73" s="148"/>
      <c r="S73" s="148"/>
    </row>
    <row r="74" spans="1:20" ht="33" customHeight="1">
      <c r="B74" s="27"/>
      <c r="C74" s="28" t="s">
        <v>96</v>
      </c>
      <c r="D74" s="28" t="s">
        <v>95</v>
      </c>
      <c r="E74" s="28" t="s">
        <v>213</v>
      </c>
      <c r="F74" s="93"/>
      <c r="G74" s="93"/>
      <c r="H74" s="93"/>
      <c r="I74" s="42"/>
      <c r="J74" s="42"/>
      <c r="S74" s="57"/>
      <c r="T74"/>
    </row>
    <row r="75" spans="1:20" ht="15.75">
      <c r="B75" s="29" t="s">
        <v>91</v>
      </c>
      <c r="C75" s="90">
        <f>AVERAGE(C63:C69,G63:G69)</f>
        <v>0.79166666666666663</v>
      </c>
      <c r="D75" s="30">
        <f>AVERAGE(E63:E69,H63:H69)</f>
        <v>-44.46496732257188</v>
      </c>
      <c r="E75" s="30">
        <f>AVERAGE(F63:F69,I63:I69)</f>
        <v>72.359642084779594</v>
      </c>
      <c r="S75" s="57"/>
      <c r="T75"/>
    </row>
    <row r="76" spans="1:20" ht="15.75">
      <c r="B76" s="31" t="s">
        <v>92</v>
      </c>
      <c r="C76" s="33">
        <f>MIN(C63:C69, G63:G69)</f>
        <v>0.62</v>
      </c>
      <c r="D76" s="32">
        <f>MIN(E63:E69, H63:H69)</f>
        <v>-61.53846153846154</v>
      </c>
      <c r="E76" s="32">
        <f>MIN(F63:F69, I63:I69)</f>
        <v>1.5139442231075657</v>
      </c>
      <c r="S76" s="57"/>
      <c r="T76"/>
    </row>
    <row r="77" spans="1:20" ht="15.75">
      <c r="B77" s="31" t="s">
        <v>93</v>
      </c>
      <c r="C77" s="33">
        <f>MAX(C63:C69, G63:G69)</f>
        <v>0.98</v>
      </c>
      <c r="D77" s="32">
        <f>MAX(E63:E69, H63:H69)</f>
        <v>-21.088435374149658</v>
      </c>
      <c r="E77" s="32">
        <f>MAX(F63:F69, I63:I69)</f>
        <v>326.27118644067804</v>
      </c>
      <c r="S77" s="57"/>
      <c r="T77"/>
    </row>
    <row r="78" spans="1:20" ht="15.75">
      <c r="B78" s="31" t="s">
        <v>94</v>
      </c>
      <c r="C78" s="33">
        <f>STDEV(C63:C69, G63:G69)</f>
        <v>0.11142329879855299</v>
      </c>
      <c r="D78" s="32">
        <f>STDEV(E63:E69, H63:H69)</f>
        <v>11.80438234779035</v>
      </c>
      <c r="E78" s="32">
        <f>STDEV(F63:F69, I63:I69)</f>
        <v>93.077563703086824</v>
      </c>
      <c r="S78" s="57"/>
      <c r="T78"/>
    </row>
    <row r="79" spans="1:20" ht="15.75">
      <c r="B79" s="26" t="s">
        <v>97</v>
      </c>
      <c r="C79" s="91">
        <f>COUNT(C63:C69, G63:G69)</f>
        <v>12</v>
      </c>
      <c r="D79" s="91"/>
      <c r="E79" s="91"/>
      <c r="S79" s="57"/>
      <c r="T79"/>
    </row>
    <row r="82" spans="1:7" ht="74.25" customHeight="1">
      <c r="A82" s="51" t="s">
        <v>81</v>
      </c>
      <c r="B82" s="51" t="s">
        <v>82</v>
      </c>
      <c r="C82" s="51" t="s">
        <v>226</v>
      </c>
      <c r="D82" s="51" t="s">
        <v>227</v>
      </c>
      <c r="E82" s="51" t="s">
        <v>228</v>
      </c>
      <c r="F82" s="51" t="s">
        <v>229</v>
      </c>
      <c r="G82" s="51" t="s">
        <v>230</v>
      </c>
    </row>
    <row r="83" spans="1:7" ht="14.25" customHeight="1">
      <c r="A83" s="51">
        <v>1</v>
      </c>
      <c r="B83" s="55" t="s">
        <v>6</v>
      </c>
      <c r="C83" s="135" t="s">
        <v>231</v>
      </c>
      <c r="D83" s="135" t="s">
        <v>232</v>
      </c>
      <c r="E83" s="136">
        <v>80</v>
      </c>
      <c r="F83" s="137">
        <v>0.18</v>
      </c>
      <c r="G83" s="137">
        <v>0.12</v>
      </c>
    </row>
    <row r="84" spans="1:7" ht="13.5" customHeight="1">
      <c r="A84" s="51">
        <v>2</v>
      </c>
      <c r="B84" s="55" t="s">
        <v>9</v>
      </c>
      <c r="C84" s="135"/>
      <c r="D84" s="135"/>
      <c r="E84" s="135"/>
      <c r="F84" s="137"/>
      <c r="G84" s="137"/>
    </row>
    <row r="85" spans="1:7">
      <c r="A85" s="51">
        <v>5</v>
      </c>
      <c r="B85" s="55" t="s">
        <v>12</v>
      </c>
      <c r="C85" s="96" t="s">
        <v>234</v>
      </c>
      <c r="D85" s="96" t="s">
        <v>235</v>
      </c>
      <c r="E85" s="97">
        <v>392</v>
      </c>
      <c r="F85" s="98">
        <v>0.57999999999999996</v>
      </c>
      <c r="G85" s="98">
        <v>0.31</v>
      </c>
    </row>
    <row r="86" spans="1:7">
      <c r="A86" s="55">
        <v>6</v>
      </c>
      <c r="B86" s="51" t="s">
        <v>18</v>
      </c>
      <c r="C86" s="96" t="s">
        <v>233</v>
      </c>
      <c r="D86" s="96" t="s">
        <v>237</v>
      </c>
      <c r="E86" s="97">
        <v>682</v>
      </c>
      <c r="F86" s="98">
        <v>0.44</v>
      </c>
      <c r="G86" s="98">
        <v>0.65</v>
      </c>
    </row>
    <row r="87" spans="1:7">
      <c r="A87" s="51">
        <v>7</v>
      </c>
      <c r="B87" s="51" t="s">
        <v>19</v>
      </c>
      <c r="C87" s="96" t="s">
        <v>48</v>
      </c>
      <c r="D87" s="96" t="s">
        <v>236</v>
      </c>
      <c r="E87" s="97">
        <v>181</v>
      </c>
      <c r="F87" s="98">
        <v>0.31</v>
      </c>
      <c r="G87" s="98">
        <v>0.16</v>
      </c>
    </row>
  </sheetData>
  <mergeCells count="47">
    <mergeCell ref="G42:H42"/>
    <mergeCell ref="G43:H43"/>
    <mergeCell ref="G38:H38"/>
    <mergeCell ref="G39:H39"/>
    <mergeCell ref="G37:H37"/>
    <mergeCell ref="G44:H44"/>
    <mergeCell ref="G45:H45"/>
    <mergeCell ref="G50:H50"/>
    <mergeCell ref="G51:H51"/>
    <mergeCell ref="G48:H48"/>
    <mergeCell ref="G49:H49"/>
    <mergeCell ref="L73:S73"/>
    <mergeCell ref="G53:H53"/>
    <mergeCell ref="C55:E55"/>
    <mergeCell ref="B72:D72"/>
    <mergeCell ref="C56:E56"/>
    <mergeCell ref="C73:F73"/>
    <mergeCell ref="G73:I73"/>
    <mergeCell ref="G3:H3"/>
    <mergeCell ref="G4:H4"/>
    <mergeCell ref="G13:H13"/>
    <mergeCell ref="G14:H14"/>
    <mergeCell ref="G21:H21"/>
    <mergeCell ref="G16:H16"/>
    <mergeCell ref="G10:H10"/>
    <mergeCell ref="G7:H7"/>
    <mergeCell ref="G17:H17"/>
    <mergeCell ref="G5:H5"/>
    <mergeCell ref="G6:H6"/>
    <mergeCell ref="G8:H8"/>
    <mergeCell ref="G9:H9"/>
    <mergeCell ref="G15:H15"/>
    <mergeCell ref="G18:H18"/>
    <mergeCell ref="G22:H22"/>
    <mergeCell ref="G29:H29"/>
    <mergeCell ref="G30:H30"/>
    <mergeCell ref="G31:H31"/>
    <mergeCell ref="G36:H36"/>
    <mergeCell ref="G27:H27"/>
    <mergeCell ref="G28:H28"/>
    <mergeCell ref="G34:H34"/>
    <mergeCell ref="G35:H35"/>
    <mergeCell ref="C83:C84"/>
    <mergeCell ref="D83:D84"/>
    <mergeCell ref="E83:E84"/>
    <mergeCell ref="F83:F84"/>
    <mergeCell ref="G83:G8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1"/>
  <sheetViews>
    <sheetView tabSelected="1" topLeftCell="C1" zoomScaleNormal="100" zoomScaleSheetLayoutView="90" workbookViewId="0">
      <selection activeCell="AU9" sqref="AU9"/>
    </sheetView>
  </sheetViews>
  <sheetFormatPr defaultRowHeight="15"/>
  <cols>
    <col min="1" max="1" width="6.42578125" customWidth="1"/>
    <col min="2" max="2" width="25.42578125" customWidth="1"/>
    <col min="3" max="3" width="18.85546875" customWidth="1"/>
    <col min="4" max="4" width="18.5703125" customWidth="1"/>
    <col min="5" max="5" width="15.140625" customWidth="1"/>
    <col min="6" max="7" width="16" customWidth="1"/>
    <col min="8" max="8" width="11" customWidth="1"/>
    <col min="9" max="9" width="19" customWidth="1"/>
    <col min="10" max="10" width="12.140625" customWidth="1"/>
    <col min="11" max="11" width="7.85546875" customWidth="1"/>
    <col min="12" max="12" width="12.140625" hidden="1" customWidth="1"/>
    <col min="13" max="14" width="9" hidden="1" customWidth="1"/>
    <col min="15" max="15" width="9" customWidth="1"/>
    <col min="16" max="16" width="8" customWidth="1"/>
    <col min="17" max="18" width="9" customWidth="1"/>
    <col min="19" max="20" width="22.5703125" customWidth="1"/>
    <col min="21" max="22" width="11" customWidth="1"/>
    <col min="23" max="23" width="9" customWidth="1"/>
    <col min="24" max="24" width="21.28515625" customWidth="1"/>
    <col min="25" max="32" width="12.7109375" customWidth="1"/>
    <col min="33" max="33" width="27.42578125" customWidth="1"/>
    <col min="34" max="34" width="12.5703125" customWidth="1"/>
    <col min="35" max="35" width="19.85546875" customWidth="1"/>
    <col min="36" max="36" width="12.85546875" customWidth="1"/>
    <col min="37" max="37" width="29.42578125" customWidth="1"/>
    <col min="38" max="38" width="13.85546875" customWidth="1"/>
    <col min="39" max="39" width="15.28515625" customWidth="1"/>
    <col min="40" max="40" width="13.28515625" customWidth="1"/>
    <col min="41" max="41" width="17.42578125" bestFit="1" customWidth="1"/>
  </cols>
  <sheetData>
    <row r="1" spans="1:48" s="57" customFormat="1" ht="78" customHeight="1">
      <c r="A1" s="99" t="s">
        <v>0</v>
      </c>
      <c r="B1" s="99" t="s">
        <v>1</v>
      </c>
      <c r="C1" s="99" t="s">
        <v>4</v>
      </c>
      <c r="D1" s="99"/>
      <c r="E1" s="99" t="s">
        <v>2</v>
      </c>
      <c r="F1" s="99" t="s">
        <v>5</v>
      </c>
      <c r="G1" s="99"/>
      <c r="H1" s="99" t="s">
        <v>15</v>
      </c>
      <c r="I1" s="99" t="s">
        <v>13</v>
      </c>
      <c r="J1" s="99" t="s">
        <v>101</v>
      </c>
      <c r="K1" s="99" t="s">
        <v>171</v>
      </c>
      <c r="L1" s="99" t="s">
        <v>103</v>
      </c>
      <c r="M1" s="99" t="s">
        <v>148</v>
      </c>
      <c r="N1" s="99" t="s">
        <v>172</v>
      </c>
      <c r="O1" s="99" t="s">
        <v>117</v>
      </c>
      <c r="P1" s="99" t="s">
        <v>173</v>
      </c>
      <c r="Q1" s="99" t="s">
        <v>174</v>
      </c>
      <c r="R1" s="99" t="s">
        <v>120</v>
      </c>
      <c r="S1" s="100" t="s">
        <v>167</v>
      </c>
      <c r="T1" s="100" t="s">
        <v>239</v>
      </c>
      <c r="U1" s="99" t="s">
        <v>182</v>
      </c>
      <c r="V1" s="99" t="s">
        <v>193</v>
      </c>
      <c r="W1" s="99" t="s">
        <v>168</v>
      </c>
      <c r="X1" s="99" t="s">
        <v>176</v>
      </c>
      <c r="Y1" s="99" t="s">
        <v>171</v>
      </c>
      <c r="Z1" s="99" t="s">
        <v>103</v>
      </c>
      <c r="AA1" s="99" t="s">
        <v>148</v>
      </c>
      <c r="AB1" s="99" t="s">
        <v>172</v>
      </c>
      <c r="AC1" s="99" t="s">
        <v>117</v>
      </c>
      <c r="AD1" s="99" t="s">
        <v>173</v>
      </c>
      <c r="AE1" s="99" t="s">
        <v>174</v>
      </c>
      <c r="AF1" s="99" t="s">
        <v>120</v>
      </c>
      <c r="AG1" s="101" t="s">
        <v>23</v>
      </c>
      <c r="AH1" s="99" t="s">
        <v>177</v>
      </c>
      <c r="AI1" s="99" t="s">
        <v>178</v>
      </c>
      <c r="AJ1" s="99" t="s">
        <v>204</v>
      </c>
      <c r="AK1" s="99" t="s">
        <v>24</v>
      </c>
      <c r="AL1" s="99" t="s">
        <v>179</v>
      </c>
      <c r="AM1" s="99" t="s">
        <v>180</v>
      </c>
      <c r="AN1" s="99" t="s">
        <v>217</v>
      </c>
      <c r="AO1" s="99" t="s">
        <v>185</v>
      </c>
    </row>
    <row r="2" spans="1:48" s="110" customFormat="1" ht="30" customHeight="1">
      <c r="A2" s="107">
        <v>1</v>
      </c>
      <c r="B2" s="107" t="s">
        <v>3</v>
      </c>
      <c r="C2" s="107">
        <v>99.63</v>
      </c>
      <c r="D2" s="107"/>
      <c r="E2" s="107">
        <v>0</v>
      </c>
      <c r="F2" s="107">
        <v>0</v>
      </c>
      <c r="G2" s="132"/>
      <c r="H2" s="108" t="s">
        <v>68</v>
      </c>
      <c r="I2" s="109"/>
      <c r="J2" s="109">
        <v>473.02</v>
      </c>
      <c r="K2" s="109">
        <v>3.56</v>
      </c>
      <c r="L2" s="109">
        <v>1</v>
      </c>
      <c r="M2" s="109">
        <f>J2+K2+L2</f>
        <v>477.58</v>
      </c>
      <c r="N2" s="109">
        <v>477.12</v>
      </c>
      <c r="O2" s="109">
        <v>1</v>
      </c>
      <c r="P2" s="109">
        <v>1</v>
      </c>
      <c r="Q2" s="109">
        <v>0.6</v>
      </c>
      <c r="R2" s="109">
        <f>N2-J2-O2-P2-Q2</f>
        <v>1.5000000000000226</v>
      </c>
      <c r="S2" s="105" t="s">
        <v>169</v>
      </c>
      <c r="T2" s="105">
        <f>(3.14/4)*(1.25^2)</f>
        <v>1.2265625</v>
      </c>
      <c r="U2" s="109" t="s">
        <v>170</v>
      </c>
      <c r="V2" s="109"/>
      <c r="W2" s="109">
        <v>477.63</v>
      </c>
      <c r="X2" s="107">
        <v>473.03</v>
      </c>
      <c r="Y2" s="109">
        <v>3.56</v>
      </c>
      <c r="Z2" s="109">
        <v>1</v>
      </c>
      <c r="AA2" s="109">
        <f>X2+Y2+Z2</f>
        <v>477.59</v>
      </c>
      <c r="AB2" s="109">
        <v>512.98</v>
      </c>
      <c r="AC2" s="109">
        <v>1</v>
      </c>
      <c r="AD2" s="109">
        <v>1</v>
      </c>
      <c r="AE2" s="109">
        <v>0.6</v>
      </c>
      <c r="AF2" s="109">
        <f>AB2-X2-AC2-AD2-AE2</f>
        <v>37.350000000000044</v>
      </c>
      <c r="AG2" s="107" t="s">
        <v>175</v>
      </c>
      <c r="AH2" s="107">
        <v>477.59</v>
      </c>
      <c r="AI2" s="107">
        <v>1.01</v>
      </c>
      <c r="AJ2" s="107" t="s">
        <v>221</v>
      </c>
      <c r="AK2" s="106" t="s">
        <v>181</v>
      </c>
      <c r="AL2" s="107">
        <v>477.3</v>
      </c>
      <c r="AM2" s="107">
        <v>0.72</v>
      </c>
      <c r="AN2" s="107" t="s">
        <v>220</v>
      </c>
      <c r="AO2" s="107"/>
    </row>
    <row r="3" spans="1:48" s="12" customFormat="1" ht="30" customHeight="1">
      <c r="A3" s="9">
        <v>2</v>
      </c>
      <c r="B3" s="9" t="s">
        <v>14</v>
      </c>
      <c r="C3" s="9">
        <f>650*I3</f>
        <v>1534</v>
      </c>
      <c r="D3" s="9"/>
      <c r="E3" s="9">
        <v>1</v>
      </c>
      <c r="F3" s="9">
        <v>0</v>
      </c>
      <c r="G3" s="9"/>
      <c r="H3" s="9" t="s">
        <v>60</v>
      </c>
      <c r="I3" s="9">
        <v>2.36</v>
      </c>
      <c r="J3" s="9"/>
      <c r="K3" s="9"/>
      <c r="L3" s="9"/>
      <c r="M3" s="9"/>
      <c r="N3" s="9"/>
      <c r="O3" s="9"/>
      <c r="P3" s="9"/>
      <c r="Q3" s="9"/>
      <c r="R3" s="9"/>
      <c r="S3" s="9" t="s">
        <v>238</v>
      </c>
      <c r="T3" s="9"/>
      <c r="U3" s="9" t="s">
        <v>183</v>
      </c>
      <c r="V3" s="9"/>
      <c r="W3" s="9"/>
      <c r="X3" s="10"/>
      <c r="Y3" s="10"/>
      <c r="Z3" s="10"/>
      <c r="AA3" s="10"/>
      <c r="AB3" s="10"/>
      <c r="AC3" s="10"/>
      <c r="AD3" s="10"/>
      <c r="AE3" s="10"/>
      <c r="AF3" s="10"/>
      <c r="AG3" s="10" t="s">
        <v>184</v>
      </c>
      <c r="AH3" s="10"/>
      <c r="AI3" s="10">
        <v>3.02</v>
      </c>
      <c r="AJ3" s="103" t="s">
        <v>222</v>
      </c>
      <c r="AK3" s="168" t="s">
        <v>186</v>
      </c>
      <c r="AL3" s="169"/>
      <c r="AM3" s="169"/>
      <c r="AN3" s="169"/>
      <c r="AO3" s="170"/>
    </row>
    <row r="4" spans="1:48" s="57" customFormat="1" ht="30" customHeight="1">
      <c r="A4" s="5">
        <v>3</v>
      </c>
      <c r="B4" s="5" t="s">
        <v>16</v>
      </c>
      <c r="C4" s="5">
        <f>650*I4</f>
        <v>325</v>
      </c>
      <c r="D4" s="5"/>
      <c r="E4" s="5">
        <v>0</v>
      </c>
      <c r="F4" s="5">
        <v>0</v>
      </c>
      <c r="G4" s="133"/>
      <c r="H4" s="92" t="s">
        <v>68</v>
      </c>
      <c r="I4" s="5">
        <v>0.5</v>
      </c>
      <c r="J4" s="5"/>
      <c r="K4" s="5"/>
      <c r="L4" s="5"/>
      <c r="M4" s="5"/>
      <c r="N4" s="5"/>
      <c r="O4" s="5"/>
      <c r="P4" s="5"/>
      <c r="Q4" s="5"/>
      <c r="R4" s="5"/>
      <c r="S4" s="5" t="s">
        <v>127</v>
      </c>
      <c r="T4" s="5">
        <f>(4*3)</f>
        <v>12</v>
      </c>
      <c r="U4" s="11" t="s">
        <v>192</v>
      </c>
      <c r="V4" s="11"/>
      <c r="W4" s="5"/>
      <c r="X4" s="171" t="s">
        <v>187</v>
      </c>
      <c r="Y4" s="172"/>
      <c r="Z4" s="172"/>
      <c r="AA4" s="172"/>
      <c r="AB4" s="172"/>
      <c r="AC4" s="172"/>
      <c r="AD4" s="172"/>
      <c r="AE4" s="172"/>
      <c r="AF4" s="173"/>
      <c r="AG4" s="11" t="s">
        <v>188</v>
      </c>
      <c r="AH4" s="11"/>
      <c r="AI4" s="11">
        <v>0.79</v>
      </c>
      <c r="AJ4" s="11" t="s">
        <v>189</v>
      </c>
      <c r="AK4" s="5"/>
      <c r="AL4" s="11"/>
      <c r="AM4" s="11"/>
      <c r="AN4" s="11"/>
      <c r="AO4" s="11"/>
    </row>
    <row r="5" spans="1:48" s="110" customFormat="1" ht="30" customHeight="1">
      <c r="A5" s="107">
        <v>4</v>
      </c>
      <c r="B5" s="106" t="s">
        <v>17</v>
      </c>
      <c r="C5" s="106">
        <f>650*I5</f>
        <v>1176.5</v>
      </c>
      <c r="D5" s="106"/>
      <c r="E5" s="107">
        <v>1</v>
      </c>
      <c r="F5" s="107">
        <v>0</v>
      </c>
      <c r="G5" s="132"/>
      <c r="H5" s="108" t="s">
        <v>68</v>
      </c>
      <c r="I5" s="107">
        <v>1.81</v>
      </c>
      <c r="J5" s="107"/>
      <c r="K5" s="107"/>
      <c r="L5" s="107"/>
      <c r="M5" s="107"/>
      <c r="N5" s="107"/>
      <c r="O5" s="107"/>
      <c r="P5" s="107"/>
      <c r="Q5" s="107"/>
      <c r="R5" s="107"/>
      <c r="S5" s="106" t="s">
        <v>190</v>
      </c>
      <c r="T5" s="106">
        <f>(3.14/4)*(10^2)</f>
        <v>78.5</v>
      </c>
      <c r="U5" s="107" t="s">
        <v>191</v>
      </c>
      <c r="V5" s="107" t="s">
        <v>194</v>
      </c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 t="s">
        <v>195</v>
      </c>
      <c r="AH5" s="107"/>
      <c r="AI5" s="107">
        <v>1</v>
      </c>
      <c r="AJ5" s="107" t="s">
        <v>196</v>
      </c>
      <c r="AK5" s="106"/>
      <c r="AL5" s="107"/>
      <c r="AM5" s="107"/>
      <c r="AN5" s="107"/>
      <c r="AO5" s="107"/>
    </row>
    <row r="6" spans="1:48" s="57" customFormat="1" ht="30" customHeight="1">
      <c r="A6" s="5">
        <v>5</v>
      </c>
      <c r="B6" s="5" t="s">
        <v>20</v>
      </c>
      <c r="C6" s="11">
        <v>116.6</v>
      </c>
      <c r="D6" s="11"/>
      <c r="E6" s="11">
        <v>0</v>
      </c>
      <c r="F6" s="11">
        <v>0</v>
      </c>
      <c r="G6" s="89"/>
      <c r="H6" s="92" t="s">
        <v>68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57" t="s">
        <v>200</v>
      </c>
      <c r="T6" s="57">
        <f>(18*3)</f>
        <v>54</v>
      </c>
      <c r="U6" s="57">
        <v>0.71</v>
      </c>
      <c r="V6" s="57">
        <v>10.507999999999999</v>
      </c>
      <c r="W6" s="57">
        <v>470.3</v>
      </c>
      <c r="X6" s="11"/>
      <c r="Y6" s="11"/>
      <c r="Z6" s="11"/>
      <c r="AA6" s="11"/>
      <c r="AB6" s="11"/>
      <c r="AC6" s="11"/>
      <c r="AD6" s="11"/>
      <c r="AE6" s="11"/>
      <c r="AF6" s="11"/>
      <c r="AG6" s="11" t="s">
        <v>198</v>
      </c>
      <c r="AH6" s="11">
        <v>470.57</v>
      </c>
      <c r="AI6" s="11">
        <v>0.68</v>
      </c>
      <c r="AJ6" s="11" t="s">
        <v>199</v>
      </c>
      <c r="AK6" s="5" t="s">
        <v>201</v>
      </c>
      <c r="AL6" s="11">
        <v>470.6</v>
      </c>
      <c r="AM6" s="11">
        <v>0.71</v>
      </c>
      <c r="AN6" s="89" t="s">
        <v>219</v>
      </c>
      <c r="AO6" s="174" t="s">
        <v>197</v>
      </c>
      <c r="AP6" s="175"/>
      <c r="AQ6" s="175"/>
      <c r="AR6" s="176"/>
    </row>
    <row r="7" spans="1:48" s="12" customFormat="1" ht="30" customHeight="1">
      <c r="A7" s="10">
        <v>6</v>
      </c>
      <c r="B7" s="10" t="s">
        <v>7</v>
      </c>
      <c r="C7" s="10">
        <v>13.15</v>
      </c>
      <c r="D7" s="10"/>
      <c r="E7" s="10">
        <v>0</v>
      </c>
      <c r="F7" s="10">
        <v>1</v>
      </c>
      <c r="G7" s="103"/>
      <c r="H7" s="149" t="s">
        <v>68</v>
      </c>
      <c r="I7" s="150"/>
      <c r="J7" s="95">
        <v>478.57</v>
      </c>
      <c r="K7" s="95">
        <v>1.79</v>
      </c>
      <c r="L7" s="95">
        <v>1</v>
      </c>
      <c r="M7" s="104">
        <f>J7+K7+L7</f>
        <v>481.36</v>
      </c>
      <c r="N7" s="95">
        <v>489.47</v>
      </c>
      <c r="O7" s="95">
        <v>1</v>
      </c>
      <c r="P7" s="95">
        <v>1</v>
      </c>
      <c r="Q7" s="95">
        <v>0.6</v>
      </c>
      <c r="R7" s="104">
        <f>N7-J7-O7-P7-Q7</f>
        <v>8.3000000000000345</v>
      </c>
      <c r="S7" s="179" t="s">
        <v>206</v>
      </c>
      <c r="T7" s="180"/>
      <c r="U7" s="180"/>
      <c r="V7" s="180"/>
      <c r="W7" s="181"/>
      <c r="X7" s="10"/>
      <c r="Y7" s="10"/>
      <c r="Z7" s="10"/>
      <c r="AA7" s="10"/>
      <c r="AB7" s="10"/>
      <c r="AC7" s="10"/>
      <c r="AD7" s="10"/>
      <c r="AE7" s="10"/>
      <c r="AF7" s="10"/>
      <c r="AG7" s="10" t="s">
        <v>29</v>
      </c>
      <c r="AH7" s="40">
        <v>481.31</v>
      </c>
      <c r="AI7" s="10">
        <v>0.95199999999999996</v>
      </c>
      <c r="AJ7" s="10" t="s">
        <v>203</v>
      </c>
      <c r="AK7" s="9" t="s">
        <v>205</v>
      </c>
      <c r="AL7" s="10">
        <v>481.36</v>
      </c>
      <c r="AM7" s="10">
        <v>1</v>
      </c>
      <c r="AN7" s="103" t="s">
        <v>218</v>
      </c>
      <c r="AO7" s="168" t="s">
        <v>202</v>
      </c>
      <c r="AP7" s="169"/>
      <c r="AQ7" s="169"/>
      <c r="AR7" s="170"/>
    </row>
    <row r="8" spans="1:48" s="12" customFormat="1" ht="30" customHeight="1">
      <c r="A8" s="9">
        <v>7</v>
      </c>
      <c r="B8" s="10" t="s">
        <v>8</v>
      </c>
      <c r="C8" s="10">
        <v>18.329999999999998</v>
      </c>
      <c r="D8" s="10"/>
      <c r="E8" s="10">
        <v>0</v>
      </c>
      <c r="F8" s="10">
        <v>1</v>
      </c>
      <c r="G8" s="103"/>
      <c r="H8" s="149" t="s">
        <v>68</v>
      </c>
      <c r="I8" s="150"/>
      <c r="J8" s="95">
        <v>478.27</v>
      </c>
      <c r="K8" s="95">
        <v>1.88</v>
      </c>
      <c r="L8" s="95">
        <v>1</v>
      </c>
      <c r="M8" s="104">
        <f>J8+K8+L8</f>
        <v>481.15</v>
      </c>
      <c r="N8" s="95">
        <v>489.84</v>
      </c>
      <c r="O8" s="95">
        <v>1</v>
      </c>
      <c r="P8" s="95">
        <v>1</v>
      </c>
      <c r="Q8" s="95">
        <v>0.6</v>
      </c>
      <c r="R8" s="104">
        <f>N8-J8-O8-P8-Q8</f>
        <v>8.9699999999999935</v>
      </c>
      <c r="S8" s="179" t="s">
        <v>206</v>
      </c>
      <c r="T8" s="180"/>
      <c r="U8" s="180"/>
      <c r="V8" s="180"/>
      <c r="W8" s="181"/>
      <c r="X8" s="10"/>
      <c r="Y8" s="10"/>
      <c r="Z8" s="10"/>
      <c r="AA8" s="10"/>
      <c r="AB8" s="10"/>
      <c r="AC8" s="10"/>
      <c r="AD8" s="10"/>
      <c r="AE8" s="10"/>
      <c r="AF8" s="10"/>
      <c r="AG8" s="10" t="s">
        <v>34</v>
      </c>
      <c r="AH8" s="40">
        <v>481</v>
      </c>
      <c r="AI8" s="10">
        <v>0.85099999999999998</v>
      </c>
      <c r="AJ8" s="10" t="s">
        <v>207</v>
      </c>
      <c r="AK8" s="10" t="s">
        <v>208</v>
      </c>
      <c r="AL8" s="12">
        <v>481.12</v>
      </c>
      <c r="AM8" s="10">
        <v>0.97499999999999998</v>
      </c>
      <c r="AN8" s="103" t="s">
        <v>216</v>
      </c>
      <c r="AO8" s="168" t="s">
        <v>202</v>
      </c>
      <c r="AP8" s="169"/>
      <c r="AQ8" s="169"/>
      <c r="AR8" s="170"/>
    </row>
    <row r="9" spans="1:48" s="118" customFormat="1" ht="30" customHeight="1">
      <c r="A9" s="111">
        <v>8</v>
      </c>
      <c r="B9" s="111" t="s">
        <v>21</v>
      </c>
      <c r="C9" s="112">
        <v>53.3</v>
      </c>
      <c r="D9" s="112"/>
      <c r="E9" s="112">
        <v>0</v>
      </c>
      <c r="F9" s="112">
        <v>0</v>
      </c>
      <c r="G9" s="117"/>
      <c r="H9" s="177" t="s">
        <v>61</v>
      </c>
      <c r="I9" s="178"/>
      <c r="J9" s="113">
        <v>472.18</v>
      </c>
      <c r="K9" s="113">
        <v>1.55</v>
      </c>
      <c r="L9" s="113">
        <v>1</v>
      </c>
      <c r="M9" s="114">
        <f>J9+K9+L9</f>
        <v>474.73</v>
      </c>
      <c r="N9" s="113">
        <v>486.75</v>
      </c>
      <c r="O9" s="113">
        <v>1</v>
      </c>
      <c r="P9" s="113">
        <v>1</v>
      </c>
      <c r="Q9" s="113">
        <v>0.6</v>
      </c>
      <c r="R9" s="114">
        <f>N9-J9-O9-P9-Q9</f>
        <v>11.969999999999994</v>
      </c>
      <c r="S9" s="115" t="s">
        <v>209</v>
      </c>
      <c r="T9" s="115">
        <f>(3.14/4)*(3^2)</f>
        <v>7.0650000000000004</v>
      </c>
      <c r="U9" s="113" t="s">
        <v>210</v>
      </c>
      <c r="V9" s="113" t="s">
        <v>211</v>
      </c>
      <c r="W9" s="113">
        <v>483.27</v>
      </c>
      <c r="X9" s="112">
        <v>471.58</v>
      </c>
      <c r="Y9" s="112">
        <v>1.55</v>
      </c>
      <c r="Z9" s="112">
        <v>1</v>
      </c>
      <c r="AA9" s="114">
        <f>X9+Y9+Z9</f>
        <v>474.13</v>
      </c>
      <c r="AB9" s="112">
        <v>486.75</v>
      </c>
      <c r="AC9" s="112">
        <v>1</v>
      </c>
      <c r="AD9" s="112">
        <v>1</v>
      </c>
      <c r="AE9" s="112">
        <v>0.6</v>
      </c>
      <c r="AF9" s="114">
        <f>AB9-X9-AC9-AD9-AE9</f>
        <v>12.570000000000016</v>
      </c>
      <c r="AG9" s="112" t="s">
        <v>48</v>
      </c>
      <c r="AH9" s="116">
        <v>474</v>
      </c>
      <c r="AI9" s="112">
        <v>0.87</v>
      </c>
      <c r="AJ9" s="112" t="s">
        <v>212</v>
      </c>
      <c r="AK9" s="112" t="s">
        <v>53</v>
      </c>
      <c r="AL9" s="112">
        <v>474.13</v>
      </c>
      <c r="AM9" s="112">
        <v>1</v>
      </c>
      <c r="AN9" s="117" t="s">
        <v>215</v>
      </c>
      <c r="AO9" s="182" t="s">
        <v>214</v>
      </c>
      <c r="AP9" s="183"/>
      <c r="AQ9" s="183"/>
      <c r="AR9" s="184"/>
    </row>
    <row r="11" spans="1:48" ht="90">
      <c r="A11" s="2" t="s">
        <v>0</v>
      </c>
      <c r="B11" s="2" t="s">
        <v>1</v>
      </c>
      <c r="C11" s="2" t="s">
        <v>4</v>
      </c>
      <c r="D11" s="2"/>
      <c r="E11" s="2" t="s">
        <v>140</v>
      </c>
      <c r="F11" s="2" t="s">
        <v>2</v>
      </c>
      <c r="G11" s="2"/>
      <c r="H11" s="2" t="s">
        <v>5</v>
      </c>
      <c r="I11" s="2" t="s">
        <v>15</v>
      </c>
      <c r="J11" s="2" t="s">
        <v>13</v>
      </c>
      <c r="K11" s="5" t="s">
        <v>23</v>
      </c>
      <c r="L11" s="5" t="s">
        <v>122</v>
      </c>
      <c r="M11" s="5" t="s">
        <v>123</v>
      </c>
      <c r="N11" s="5" t="s">
        <v>77</v>
      </c>
      <c r="O11" s="5" t="s">
        <v>80</v>
      </c>
      <c r="P11" s="5" t="s">
        <v>101</v>
      </c>
      <c r="Q11" s="5" t="s">
        <v>102</v>
      </c>
      <c r="R11" s="5" t="s">
        <v>103</v>
      </c>
      <c r="S11" s="5" t="s">
        <v>99</v>
      </c>
      <c r="T11" s="5"/>
      <c r="U11" s="5" t="s">
        <v>100</v>
      </c>
      <c r="V11" s="5" t="s">
        <v>26</v>
      </c>
      <c r="W11" s="5" t="s">
        <v>35</v>
      </c>
      <c r="X11" s="5" t="s">
        <v>27</v>
      </c>
      <c r="Y11" s="5" t="s">
        <v>86</v>
      </c>
      <c r="Z11" s="5" t="s">
        <v>121</v>
      </c>
      <c r="AA11" s="5" t="s">
        <v>116</v>
      </c>
      <c r="AB11" s="5" t="s">
        <v>117</v>
      </c>
      <c r="AC11" s="5" t="s">
        <v>118</v>
      </c>
      <c r="AD11" s="5" t="s">
        <v>119</v>
      </c>
      <c r="AE11" s="5" t="s">
        <v>120</v>
      </c>
      <c r="AF11" s="5" t="s">
        <v>108</v>
      </c>
      <c r="AG11" s="2" t="s">
        <v>0</v>
      </c>
      <c r="AH11" s="2" t="s">
        <v>1</v>
      </c>
      <c r="AI11" s="5" t="s">
        <v>147</v>
      </c>
      <c r="AJ11" s="5" t="s">
        <v>77</v>
      </c>
      <c r="AK11" s="24" t="s">
        <v>90</v>
      </c>
      <c r="AL11" s="24" t="s">
        <v>148</v>
      </c>
      <c r="AM11" s="24" t="s">
        <v>149</v>
      </c>
      <c r="AN11" s="24" t="s">
        <v>150</v>
      </c>
      <c r="AO11" s="5" t="s">
        <v>28</v>
      </c>
      <c r="AP11" s="8" t="s">
        <v>36</v>
      </c>
      <c r="AQ11" s="5" t="s">
        <v>146</v>
      </c>
      <c r="AR11" s="5" t="s">
        <v>86</v>
      </c>
      <c r="AS11" s="5" t="s">
        <v>154</v>
      </c>
    </row>
    <row r="12" spans="1:48" ht="30">
      <c r="A12" s="5">
        <v>9</v>
      </c>
      <c r="B12" s="5" t="s">
        <v>22</v>
      </c>
      <c r="C12" s="11">
        <v>18.7</v>
      </c>
      <c r="D12" s="11"/>
      <c r="E12" s="11"/>
      <c r="F12" s="11">
        <v>0</v>
      </c>
      <c r="G12" s="11"/>
      <c r="H12" s="11">
        <v>1</v>
      </c>
      <c r="I12" s="11"/>
      <c r="J12" s="11"/>
      <c r="K12" s="11" t="s">
        <v>51</v>
      </c>
      <c r="L12" s="11">
        <v>4</v>
      </c>
      <c r="M12" s="11">
        <v>3</v>
      </c>
      <c r="N12" s="78">
        <f>L12*M12</f>
        <v>12</v>
      </c>
      <c r="O12" s="11"/>
      <c r="P12" s="11"/>
      <c r="Q12" s="11"/>
      <c r="R12" s="11"/>
      <c r="S12" s="11"/>
      <c r="T12" s="11"/>
      <c r="U12" s="11"/>
      <c r="V12" s="11">
        <v>0.6</v>
      </c>
      <c r="W12" s="11"/>
      <c r="X12" s="78">
        <v>6.5510000000000002</v>
      </c>
      <c r="Y12" s="78"/>
      <c r="Z12" s="11"/>
      <c r="AA12" s="11"/>
      <c r="AB12" s="11"/>
      <c r="AC12" s="11"/>
      <c r="AD12" s="11"/>
      <c r="AE12" s="11"/>
      <c r="AF12" s="11"/>
      <c r="AG12" s="5">
        <v>8</v>
      </c>
      <c r="AH12" s="5" t="s">
        <v>22</v>
      </c>
      <c r="AI12" s="11" t="s">
        <v>52</v>
      </c>
      <c r="AJ12" s="11">
        <v>28.4</v>
      </c>
      <c r="AK12" s="59"/>
      <c r="AL12" s="60"/>
      <c r="AM12" s="60"/>
      <c r="AN12" s="60"/>
      <c r="AO12" s="60">
        <v>0.83</v>
      </c>
      <c r="AP12" s="60"/>
      <c r="AQ12" s="60">
        <v>4.83</v>
      </c>
      <c r="AR12" s="60"/>
      <c r="AS12" s="11"/>
      <c r="AT12" s="57"/>
      <c r="AU12" s="57"/>
      <c r="AV12" s="57"/>
    </row>
    <row r="13" spans="1:48">
      <c r="A13" s="5"/>
      <c r="B13" s="5"/>
      <c r="C13" s="11"/>
      <c r="D13" s="11"/>
      <c r="E13" s="11">
        <v>27.8</v>
      </c>
      <c r="F13" s="11"/>
      <c r="G13" s="11"/>
      <c r="H13" s="11"/>
      <c r="I13" s="163" t="s">
        <v>56</v>
      </c>
      <c r="J13" s="164"/>
      <c r="K13" s="11" t="s">
        <v>51</v>
      </c>
      <c r="L13" s="11">
        <v>4</v>
      </c>
      <c r="M13" s="11">
        <v>3</v>
      </c>
      <c r="N13" s="78">
        <f>L13*M13</f>
        <v>12</v>
      </c>
      <c r="O13" s="11"/>
      <c r="P13" s="11">
        <v>474.79</v>
      </c>
      <c r="Q13" s="11">
        <v>0.93400000000000005</v>
      </c>
      <c r="R13" s="11">
        <v>1</v>
      </c>
      <c r="S13" s="61">
        <f>P13+Q13+R13</f>
        <v>476.72400000000005</v>
      </c>
      <c r="T13" s="61"/>
      <c r="U13" s="11">
        <v>476.68</v>
      </c>
      <c r="V13" s="11">
        <v>0.87</v>
      </c>
      <c r="W13" s="11"/>
      <c r="X13" s="78">
        <v>11.78</v>
      </c>
      <c r="Y13" s="78"/>
      <c r="Z13" s="11">
        <v>483.47</v>
      </c>
      <c r="AA13" s="11">
        <v>474.79</v>
      </c>
      <c r="AB13" s="11">
        <v>1</v>
      </c>
      <c r="AC13" s="11">
        <v>1</v>
      </c>
      <c r="AD13" s="11">
        <v>0.6</v>
      </c>
      <c r="AE13" s="11">
        <f>Z13-AA13-AB13-AC13-AD13</f>
        <v>6.0800000000000072</v>
      </c>
      <c r="AF13" s="11"/>
      <c r="AG13" s="5"/>
      <c r="AH13" s="5"/>
      <c r="AI13" s="11" t="s">
        <v>52</v>
      </c>
      <c r="AJ13" s="11">
        <v>28.4</v>
      </c>
      <c r="AK13" s="59"/>
      <c r="AL13" s="61">
        <f>S13</f>
        <v>476.72400000000005</v>
      </c>
      <c r="AM13" s="60">
        <v>476.45</v>
      </c>
      <c r="AN13" s="61">
        <f>AE13</f>
        <v>6.0800000000000072</v>
      </c>
      <c r="AO13" s="60">
        <v>0.77</v>
      </c>
      <c r="AP13" s="60"/>
      <c r="AQ13" s="60">
        <v>5.08</v>
      </c>
      <c r="AR13" s="60"/>
      <c r="AS13" s="11"/>
      <c r="AT13" s="57"/>
      <c r="AU13" s="57"/>
      <c r="AV13" s="57"/>
    </row>
    <row r="14" spans="1:48">
      <c r="A14" s="5"/>
      <c r="B14" s="5"/>
      <c r="C14" s="11"/>
      <c r="D14" s="11"/>
      <c r="E14" s="11"/>
      <c r="F14" s="11"/>
      <c r="G14" s="11"/>
      <c r="H14" s="11"/>
      <c r="I14" s="163" t="s">
        <v>57</v>
      </c>
      <c r="J14" s="164"/>
      <c r="K14" s="11" t="s">
        <v>78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78"/>
      <c r="Y14" s="78"/>
      <c r="Z14" s="11"/>
      <c r="AA14" s="11"/>
      <c r="AB14" s="11"/>
      <c r="AC14" s="11"/>
      <c r="AD14" s="11"/>
      <c r="AE14" s="11"/>
      <c r="AF14" s="11"/>
      <c r="AG14" s="5"/>
      <c r="AH14" s="5"/>
      <c r="AI14" s="11" t="s">
        <v>59</v>
      </c>
      <c r="AJ14" s="11">
        <v>24.1</v>
      </c>
      <c r="AK14" s="59">
        <f>(AJ14-$AJ$13)*100/$AJ$13</f>
        <v>-15.140845070422525</v>
      </c>
      <c r="AL14" s="60"/>
      <c r="AM14" s="60">
        <v>476.54</v>
      </c>
      <c r="AN14" s="60"/>
      <c r="AO14" s="60">
        <v>0.86</v>
      </c>
      <c r="AP14" s="60"/>
      <c r="AQ14" s="60">
        <v>5.17</v>
      </c>
      <c r="AR14" s="61">
        <f>(AQ14-$AQ$13)*100/$AQ$13</f>
        <v>1.7716535433070837</v>
      </c>
      <c r="AS14" s="11"/>
      <c r="AT14" s="57"/>
      <c r="AU14" s="57"/>
      <c r="AV14" s="57"/>
    </row>
    <row r="15" spans="1:48">
      <c r="A15" s="5"/>
      <c r="B15" s="5"/>
      <c r="C15" s="11"/>
      <c r="D15" s="11"/>
      <c r="E15" s="11"/>
      <c r="F15" s="11"/>
      <c r="G15" s="11"/>
      <c r="H15" s="11"/>
      <c r="I15" s="102"/>
      <c r="J15" s="102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78"/>
      <c r="Y15" s="78"/>
      <c r="Z15" s="11"/>
      <c r="AA15" s="11"/>
      <c r="AB15" s="11"/>
      <c r="AC15" s="11"/>
      <c r="AD15" s="11"/>
      <c r="AE15" s="11"/>
      <c r="AF15" s="11"/>
      <c r="AG15" s="5"/>
      <c r="AH15" s="5"/>
      <c r="AI15" s="11" t="s">
        <v>165</v>
      </c>
      <c r="AJ15" s="11">
        <v>22.09</v>
      </c>
      <c r="AK15" s="59">
        <f>(AJ15-$AJ$13)*100/$AJ$13</f>
        <v>-22.218309859154928</v>
      </c>
      <c r="AL15" s="60"/>
      <c r="AM15" s="60">
        <v>476.5</v>
      </c>
      <c r="AN15" s="60"/>
      <c r="AO15" s="60">
        <v>0.82</v>
      </c>
      <c r="AP15" s="60"/>
      <c r="AQ15" s="60">
        <v>5.34</v>
      </c>
      <c r="AR15" s="61">
        <f>(AQ15-$AQ$13)*100/$AQ$13</f>
        <v>5.1181102362204678</v>
      </c>
      <c r="AS15" s="11" t="s">
        <v>166</v>
      </c>
      <c r="AT15" s="57"/>
      <c r="AU15" s="57"/>
      <c r="AV15" s="57"/>
    </row>
    <row r="16" spans="1:48">
      <c r="A16" s="5"/>
      <c r="B16" s="5"/>
      <c r="C16" s="11"/>
      <c r="D16" s="11"/>
      <c r="E16" s="11"/>
      <c r="F16" s="11"/>
      <c r="G16" s="11"/>
      <c r="H16" s="11"/>
      <c r="I16" s="102"/>
      <c r="J16" s="102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78"/>
      <c r="Y16" s="78"/>
      <c r="Z16" s="11"/>
      <c r="AA16" s="11"/>
      <c r="AB16" s="11"/>
      <c r="AC16" s="11"/>
      <c r="AD16" s="11"/>
      <c r="AE16" s="11"/>
      <c r="AF16" s="11"/>
      <c r="AG16" s="5"/>
      <c r="AH16" s="5"/>
      <c r="AI16" s="11"/>
      <c r="AJ16" s="11"/>
      <c r="AK16" s="59"/>
      <c r="AL16" s="60"/>
      <c r="AM16" s="60"/>
      <c r="AN16" s="60"/>
      <c r="AO16" s="60"/>
      <c r="AP16" s="60"/>
      <c r="AQ16" s="60"/>
      <c r="AR16" s="61"/>
      <c r="AS16" s="11"/>
      <c r="AT16" s="57"/>
      <c r="AU16" s="57"/>
      <c r="AV16" s="57"/>
    </row>
    <row r="17" spans="1:48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78"/>
      <c r="Y17" s="78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60"/>
      <c r="AM17" s="60"/>
      <c r="AN17" s="60"/>
      <c r="AO17" s="60"/>
      <c r="AP17" s="60"/>
      <c r="AQ17" s="60"/>
      <c r="AR17" s="60"/>
      <c r="AS17" s="11"/>
      <c r="AT17" s="57"/>
      <c r="AU17" s="57"/>
      <c r="AV17" s="57"/>
    </row>
    <row r="22" spans="1:48">
      <c r="B22" s="6" t="s">
        <v>30</v>
      </c>
      <c r="C22" s="165" t="s">
        <v>31</v>
      </c>
      <c r="D22" s="166"/>
      <c r="E22" s="167"/>
    </row>
    <row r="23" spans="1:48">
      <c r="B23" s="7" t="s">
        <v>32</v>
      </c>
      <c r="C23" s="165" t="s">
        <v>33</v>
      </c>
      <c r="D23" s="166"/>
      <c r="E23" s="167"/>
    </row>
    <row r="24" spans="1:48">
      <c r="B24" s="7" t="s">
        <v>39</v>
      </c>
      <c r="C24" s="7" t="s">
        <v>40</v>
      </c>
      <c r="D24" s="7"/>
      <c r="E24" s="7"/>
    </row>
    <row r="25" spans="1:48">
      <c r="B25" s="7" t="s">
        <v>44</v>
      </c>
      <c r="C25" s="7" t="s">
        <v>45</v>
      </c>
      <c r="D25" s="7"/>
      <c r="E25" s="7"/>
    </row>
    <row r="26" spans="1:48">
      <c r="B26" s="7"/>
      <c r="C26" s="7"/>
      <c r="D26" s="7"/>
      <c r="E26" s="7"/>
    </row>
    <row r="29" spans="1:48" ht="33.75" customHeight="1"/>
    <row r="30" spans="1:48" ht="96" customHeight="1">
      <c r="A30" s="123" t="s">
        <v>81</v>
      </c>
      <c r="B30" s="5" t="s">
        <v>82</v>
      </c>
      <c r="C30" s="5" t="s">
        <v>241</v>
      </c>
      <c r="D30" s="5" t="s">
        <v>253</v>
      </c>
      <c r="E30" s="5" t="s">
        <v>240</v>
      </c>
      <c r="F30" s="5" t="s">
        <v>254</v>
      </c>
      <c r="G30" s="5" t="s">
        <v>255</v>
      </c>
      <c r="H30" s="5" t="s">
        <v>240</v>
      </c>
      <c r="I30" s="5" t="s">
        <v>242</v>
      </c>
      <c r="J30" s="5" t="s">
        <v>243</v>
      </c>
      <c r="K30" s="5" t="s">
        <v>249</v>
      </c>
      <c r="L30" s="5" t="s">
        <v>252</v>
      </c>
      <c r="M30" s="157" t="s">
        <v>108</v>
      </c>
      <c r="N30" s="157"/>
      <c r="O30" s="157"/>
      <c r="P30" s="157"/>
    </row>
    <row r="31" spans="1:48" ht="27.75" customHeight="1">
      <c r="A31" s="123">
        <v>1</v>
      </c>
      <c r="B31" s="5" t="s">
        <v>16</v>
      </c>
      <c r="C31" s="123" t="s">
        <v>127</v>
      </c>
      <c r="D31" s="123" t="s">
        <v>192</v>
      </c>
      <c r="E31" s="123">
        <v>12</v>
      </c>
      <c r="F31" s="119" t="s">
        <v>246</v>
      </c>
      <c r="G31" s="119" t="s">
        <v>256</v>
      </c>
      <c r="H31" s="119">
        <v>36</v>
      </c>
      <c r="I31" s="120">
        <v>218</v>
      </c>
      <c r="J31" s="121">
        <v>0.61</v>
      </c>
      <c r="K31" s="120">
        <v>151</v>
      </c>
      <c r="L31" s="126">
        <v>0.42499999999999999</v>
      </c>
      <c r="M31" s="160"/>
      <c r="N31" s="161"/>
      <c r="O31" s="161"/>
      <c r="P31" s="162"/>
    </row>
    <row r="32" spans="1:48" ht="60.75" customHeight="1">
      <c r="A32" s="123">
        <v>2</v>
      </c>
      <c r="B32" s="5" t="s">
        <v>20</v>
      </c>
      <c r="C32" s="119" t="s">
        <v>244</v>
      </c>
      <c r="D32" s="119">
        <v>0.71</v>
      </c>
      <c r="E32" s="119">
        <v>54</v>
      </c>
      <c r="F32" s="119" t="s">
        <v>245</v>
      </c>
      <c r="G32" s="119" t="s">
        <v>257</v>
      </c>
      <c r="H32" s="119">
        <v>76</v>
      </c>
      <c r="I32" s="120">
        <v>136</v>
      </c>
      <c r="J32" s="121">
        <v>0.19</v>
      </c>
      <c r="K32" s="120">
        <v>252</v>
      </c>
      <c r="L32" s="126">
        <v>0.38300000000000001</v>
      </c>
      <c r="M32" s="158" t="s">
        <v>250</v>
      </c>
      <c r="N32" s="158"/>
      <c r="O32" s="158"/>
      <c r="P32" s="158"/>
    </row>
    <row r="33" spans="1:16" ht="6" customHeight="1">
      <c r="A33" s="131"/>
      <c r="B33" s="128"/>
      <c r="C33" s="128"/>
      <c r="D33" s="128"/>
      <c r="E33" s="128"/>
      <c r="F33" s="128"/>
      <c r="G33" s="128"/>
      <c r="H33" s="128"/>
      <c r="I33" s="128"/>
      <c r="J33" s="128"/>
      <c r="K33" s="129"/>
      <c r="L33" s="130"/>
      <c r="M33" s="130"/>
      <c r="N33" s="130"/>
      <c r="O33" s="130"/>
      <c r="P33" s="130"/>
    </row>
    <row r="34" spans="1:16" ht="21.75" customHeight="1">
      <c r="A34" s="123">
        <v>3</v>
      </c>
      <c r="B34" s="11" t="s">
        <v>3</v>
      </c>
      <c r="C34" s="124" t="s">
        <v>169</v>
      </c>
      <c r="D34" s="124" t="s">
        <v>170</v>
      </c>
      <c r="E34" s="119">
        <v>1.2</v>
      </c>
      <c r="F34" s="119" t="s">
        <v>144</v>
      </c>
      <c r="G34" s="119" t="s">
        <v>258</v>
      </c>
      <c r="H34" s="119">
        <v>24</v>
      </c>
      <c r="I34" s="120"/>
      <c r="J34" s="121"/>
      <c r="K34" s="120">
        <v>121</v>
      </c>
      <c r="L34" s="127">
        <v>0.4</v>
      </c>
      <c r="M34" s="159" t="s">
        <v>251</v>
      </c>
      <c r="N34" s="159"/>
      <c r="O34" s="159"/>
      <c r="P34" s="159"/>
    </row>
    <row r="35" spans="1:16" ht="30">
      <c r="A35" s="119">
        <v>4</v>
      </c>
      <c r="B35" s="5" t="s">
        <v>17</v>
      </c>
      <c r="C35" s="5" t="s">
        <v>190</v>
      </c>
      <c r="D35" s="5" t="s">
        <v>191</v>
      </c>
      <c r="E35" s="119">
        <v>78.5</v>
      </c>
      <c r="F35" s="119" t="s">
        <v>247</v>
      </c>
      <c r="G35" s="119" t="s">
        <v>259</v>
      </c>
      <c r="H35" s="119">
        <v>96</v>
      </c>
      <c r="I35" s="120"/>
      <c r="J35" s="121"/>
      <c r="K35" s="120">
        <v>278</v>
      </c>
      <c r="L35" s="126">
        <v>0.29499999999999998</v>
      </c>
      <c r="M35" s="159"/>
      <c r="N35" s="159"/>
      <c r="O35" s="159"/>
      <c r="P35" s="159"/>
    </row>
    <row r="36" spans="1:16" ht="30">
      <c r="A36" s="123">
        <v>5</v>
      </c>
      <c r="B36" s="122" t="s">
        <v>21</v>
      </c>
      <c r="C36" s="125" t="s">
        <v>209</v>
      </c>
      <c r="D36" s="125" t="s">
        <v>210</v>
      </c>
      <c r="E36" s="119">
        <v>7.1</v>
      </c>
      <c r="F36" s="119" t="s">
        <v>248</v>
      </c>
      <c r="G36" s="119" t="s">
        <v>260</v>
      </c>
      <c r="H36" s="119">
        <v>36</v>
      </c>
      <c r="I36" s="120"/>
      <c r="J36" s="121"/>
      <c r="K36" s="120">
        <v>176</v>
      </c>
      <c r="L36" s="127">
        <v>0.53</v>
      </c>
      <c r="M36" s="159"/>
      <c r="N36" s="159"/>
      <c r="O36" s="159"/>
      <c r="P36" s="159"/>
    </row>
    <row r="40" spans="1:16" ht="90">
      <c r="A40" s="123" t="s">
        <v>81</v>
      </c>
      <c r="B40" s="5" t="s">
        <v>82</v>
      </c>
      <c r="C40" s="5" t="s">
        <v>241</v>
      </c>
      <c r="D40" s="5" t="s">
        <v>253</v>
      </c>
      <c r="E40" s="5" t="s">
        <v>254</v>
      </c>
      <c r="F40" s="5" t="s">
        <v>255</v>
      </c>
      <c r="G40" s="5" t="s">
        <v>242</v>
      </c>
      <c r="H40" s="5" t="s">
        <v>243</v>
      </c>
      <c r="I40" s="5" t="s">
        <v>249</v>
      </c>
      <c r="J40" s="5" t="s">
        <v>252</v>
      </c>
      <c r="K40" s="157" t="s">
        <v>108</v>
      </c>
      <c r="L40" s="157"/>
      <c r="M40" s="157"/>
      <c r="N40" s="157"/>
    </row>
    <row r="41" spans="1:16" ht="30">
      <c r="A41" s="123">
        <v>1</v>
      </c>
      <c r="B41" s="5" t="s">
        <v>16</v>
      </c>
      <c r="C41" s="123" t="s">
        <v>127</v>
      </c>
      <c r="D41" s="123" t="s">
        <v>192</v>
      </c>
      <c r="E41" s="119" t="s">
        <v>246</v>
      </c>
      <c r="F41" s="119" t="s">
        <v>256</v>
      </c>
      <c r="G41" s="120">
        <v>218</v>
      </c>
      <c r="H41" s="121">
        <v>0.61</v>
      </c>
      <c r="I41" s="120">
        <v>151</v>
      </c>
      <c r="J41" s="126">
        <v>0.42499999999999999</v>
      </c>
      <c r="K41" s="157"/>
      <c r="L41" s="157"/>
      <c r="M41" s="157"/>
      <c r="N41" s="157"/>
    </row>
    <row r="42" spans="1:16" ht="51.75" customHeight="1">
      <c r="A42" s="123">
        <v>2</v>
      </c>
      <c r="B42" s="5" t="s">
        <v>20</v>
      </c>
      <c r="C42" s="119" t="s">
        <v>244</v>
      </c>
      <c r="D42" s="119">
        <v>0.71</v>
      </c>
      <c r="E42" s="119" t="s">
        <v>245</v>
      </c>
      <c r="F42" s="119" t="s">
        <v>257</v>
      </c>
      <c r="G42" s="120">
        <v>136</v>
      </c>
      <c r="H42" s="121">
        <v>0.19</v>
      </c>
      <c r="I42" s="120">
        <v>252</v>
      </c>
      <c r="J42" s="126">
        <v>0.38300000000000001</v>
      </c>
      <c r="K42" s="158" t="s">
        <v>261</v>
      </c>
      <c r="L42" s="158"/>
      <c r="M42" s="158"/>
      <c r="N42" s="158"/>
    </row>
    <row r="43" spans="1:16">
      <c r="A43" s="123">
        <v>3</v>
      </c>
      <c r="B43" s="11" t="s">
        <v>3</v>
      </c>
      <c r="C43" s="124" t="s">
        <v>169</v>
      </c>
      <c r="D43" s="124" t="s">
        <v>170</v>
      </c>
      <c r="E43" s="119" t="s">
        <v>144</v>
      </c>
      <c r="F43" s="119" t="s">
        <v>258</v>
      </c>
      <c r="G43" s="120"/>
      <c r="H43" s="121"/>
      <c r="I43" s="120">
        <v>121</v>
      </c>
      <c r="J43" s="127">
        <v>0.4</v>
      </c>
      <c r="K43" s="159" t="s">
        <v>262</v>
      </c>
      <c r="L43" s="159"/>
      <c r="M43" s="159"/>
      <c r="N43" s="159"/>
    </row>
    <row r="44" spans="1:16" ht="30">
      <c r="A44" s="119">
        <v>4</v>
      </c>
      <c r="B44" s="5" t="s">
        <v>17</v>
      </c>
      <c r="C44" s="5" t="s">
        <v>190</v>
      </c>
      <c r="D44" s="5" t="s">
        <v>191</v>
      </c>
      <c r="E44" s="119" t="s">
        <v>247</v>
      </c>
      <c r="F44" s="119" t="s">
        <v>259</v>
      </c>
      <c r="G44" s="120"/>
      <c r="H44" s="121"/>
      <c r="I44" s="120">
        <v>278</v>
      </c>
      <c r="J44" s="126">
        <v>0.29499999999999998</v>
      </c>
      <c r="K44" s="159"/>
      <c r="L44" s="159"/>
      <c r="M44" s="159"/>
      <c r="N44" s="159"/>
    </row>
    <row r="45" spans="1:16" ht="30">
      <c r="A45" s="123">
        <v>5</v>
      </c>
      <c r="B45" s="122" t="s">
        <v>21</v>
      </c>
      <c r="C45" s="125" t="s">
        <v>209</v>
      </c>
      <c r="D45" s="125" t="s">
        <v>210</v>
      </c>
      <c r="E45" s="119" t="s">
        <v>248</v>
      </c>
      <c r="F45" s="119" t="s">
        <v>260</v>
      </c>
      <c r="G45" s="120"/>
      <c r="H45" s="121"/>
      <c r="I45" s="120">
        <v>176</v>
      </c>
      <c r="J45" s="127">
        <v>0.53</v>
      </c>
      <c r="K45" s="159"/>
      <c r="L45" s="159"/>
      <c r="M45" s="159"/>
      <c r="N45" s="159"/>
    </row>
    <row r="47" spans="1:16">
      <c r="J47" s="134">
        <f>AVERAGE(J41:J45)</f>
        <v>0.40660000000000007</v>
      </c>
    </row>
    <row r="49" spans="1:2">
      <c r="A49" t="s">
        <v>261</v>
      </c>
      <c r="B49" t="s">
        <v>250</v>
      </c>
    </row>
    <row r="51" spans="1:2">
      <c r="A51" t="s">
        <v>262</v>
      </c>
      <c r="B51" t="s">
        <v>251</v>
      </c>
    </row>
  </sheetData>
  <mergeCells count="23">
    <mergeCell ref="I13:J13"/>
    <mergeCell ref="AK3:AO3"/>
    <mergeCell ref="X4:AF4"/>
    <mergeCell ref="AO6:AR6"/>
    <mergeCell ref="H9:I9"/>
    <mergeCell ref="H7:I7"/>
    <mergeCell ref="H8:I8"/>
    <mergeCell ref="AO7:AR7"/>
    <mergeCell ref="S7:W7"/>
    <mergeCell ref="S8:W8"/>
    <mergeCell ref="AO8:AR8"/>
    <mergeCell ref="AO9:AR9"/>
    <mergeCell ref="M32:P32"/>
    <mergeCell ref="M30:P30"/>
    <mergeCell ref="M31:P31"/>
    <mergeCell ref="I14:J14"/>
    <mergeCell ref="C22:E22"/>
    <mergeCell ref="C23:E23"/>
    <mergeCell ref="K40:N40"/>
    <mergeCell ref="K41:N41"/>
    <mergeCell ref="K42:N42"/>
    <mergeCell ref="K43:N45"/>
    <mergeCell ref="M34:P36"/>
  </mergeCells>
  <pageMargins left="0.7" right="0.7" top="0.75" bottom="0.75" header="0.3" footer="0.3"/>
  <pageSetup scale="50" orientation="landscape" r:id="rId1"/>
  <colBreaks count="1" manualBreakCount="1">
    <brk id="32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Culv7 -NewAlg</vt:lpstr>
      <vt:lpstr>Culv9-Replace</vt:lpstr>
      <vt:lpstr>'Culv9-Replace'!Print_Area</vt:lpstr>
    </vt:vector>
  </TitlesOfParts>
  <Company>Engineering Computer Network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kumar34</dc:creator>
  <cp:lastModifiedBy>ntl</cp:lastModifiedBy>
  <cp:lastPrinted>2011-02-24T20:15:42Z</cp:lastPrinted>
  <dcterms:created xsi:type="dcterms:W3CDTF">2010-08-26T20:25:44Z</dcterms:created>
  <dcterms:modified xsi:type="dcterms:W3CDTF">2012-01-27T20:46:27Z</dcterms:modified>
</cp:coreProperties>
</file>